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5" yWindow="45" windowWidth="18540" windowHeight="12210" tabRatio="684" activeTab="0"/>
  </bookViews>
  <sheets>
    <sheet name="Infos zum KUP-Ernteplaner" sheetId="1" r:id="rId1"/>
    <sheet name="Ertragsschätzung" sheetId="2" r:id="rId2"/>
    <sheet name="Hackgutlinien" sheetId="3" r:id="rId3"/>
    <sheet name="Vollbaumlinien" sheetId="4" r:id="rId4"/>
    <sheet name="Erträge" sheetId="5" r:id="rId5"/>
    <sheet name="Ernte" sheetId="6" r:id="rId6"/>
    <sheet name="Transport" sheetId="7" r:id="rId7"/>
    <sheet name="Definierte Namen" sheetId="8" r:id="rId8"/>
  </sheets>
  <definedNames>
    <definedName name="Alter_der_Triebe">'Definierte Namen'!$I$6:$I$25</definedName>
    <definedName name="Anzahl_Transporteinheiten">'Transport'!$P$16:$P$19</definedName>
    <definedName name="Anzahl_Transporteinheiten_2">'Transport'!$Q$63:$Q$68</definedName>
    <definedName name="Anzahl_Transportfahrten">'Transport'!$Q$39:$Q$44</definedName>
    <definedName name="Baumart">'Erträge'!$C$8:$E$8</definedName>
    <definedName name="Befüllung_der_Transporteinheit">'Transport'!$N$16:$N$19</definedName>
    <definedName name="Befüllung_der_Transporteinheit_2">'Transport'!$N$63:$N$68</definedName>
    <definedName name="Bodenqualität">'Erträge'!$B$10:$B$14</definedName>
    <definedName name="Dauer_Abladen">'Transport'!$F$16:$F$19</definedName>
    <definedName name="Dauer_Abladen_2">'Transport'!$F$63:$F$68</definedName>
    <definedName name="Dauer_der_Transportfahrt">'Transport'!$K$16:$K$19</definedName>
    <definedName name="Dauer_der_Transportfahrt_2">'Transport'!$K$63:$K$68</definedName>
    <definedName name="Erntekosten_pro_Stunde">'Ernte'!$I$9:$I$14</definedName>
    <definedName name="Erntekosten_pro_Stunde_2">'Ernte'!$G$40:$G$45</definedName>
    <definedName name="Erntezeit_GAZ_1">'Ernte'!$F$9:$F$14</definedName>
    <definedName name="Erntezeit_GAZ_2">'Ernte'!$F$24:$F$29</definedName>
    <definedName name="Erntezeit_GAZ_3">'Ernte'!$F$40:$F$45</definedName>
    <definedName name="Erntezeit_GAZ_4">'Ernte'!$F$53:$F$58</definedName>
    <definedName name="Kosten_der_Transporteinheiten">'Transport'!$G$25:$G$28</definedName>
    <definedName name="Kosten_der_Transporteinheiten_2">'Transport'!$F$50:$F$55</definedName>
    <definedName name="Kosten_der_Transporteinheiten_3">'Transport'!$G$74:$G$79</definedName>
    <definedName name="Mähhacker">'Ernte'!$C$9:$C$14</definedName>
    <definedName name="Pappel">'Erträge'!$D$10:$D$14</definedName>
    <definedName name="Robinie">'Erträge'!$E$10:$E$14</definedName>
    <definedName name="Stammdurchmesser">'Definierte Namen'!$H$6:$H$36</definedName>
    <definedName name="Transporteinheiten">'Transport'!$C$16:$C$19</definedName>
    <definedName name="Transporteinheiten_2">'Transport'!$C$39:$C$44</definedName>
    <definedName name="Transportkosten_pro_Stunde">'Transport'!$D$25:$D$28</definedName>
    <definedName name="Transportkosten_pro_Stunde_2">'Transport'!$D$74:$D$79</definedName>
    <definedName name="Vollbaumernter">'Ernte'!$C$40:$C$45</definedName>
    <definedName name="Wahl_der_Baumart">'Ertragsschätzung'!$C$13</definedName>
    <definedName name="Wahl_der_Bodenqualität">'Ertragsschätzung'!$C$16</definedName>
    <definedName name="Wahl_der_Erntemaschine">'Hackgutlinien'!$C$8</definedName>
    <definedName name="Wahl_der_Erntemaschine_2">'Vollbaumlinien'!$C$8</definedName>
    <definedName name="Wahl_der_Transporteinheiten">'Hackgutlinien'!$C$15</definedName>
    <definedName name="Wahl_der_Transporteinheiten_2">'Hackgutlinien'!$C$59</definedName>
    <definedName name="Wahl_der_Transporteinheiten_3">'Vollbaumlinien'!$C$44</definedName>
    <definedName name="Wahl_des_Triebalters">'Ertragsschätzung'!$C$18</definedName>
    <definedName name="Weide">'Erträge'!$C$10:$C$14</definedName>
  </definedNames>
  <calcPr fullCalcOnLoad="1"/>
</workbook>
</file>

<file path=xl/comments6.xml><?xml version="1.0" encoding="utf-8"?>
<comments xmlns="http://schemas.openxmlformats.org/spreadsheetml/2006/main">
  <authors>
    <author>michael.nahm</author>
  </authors>
  <commentList>
    <comment ref="O64" authorId="0">
      <text>
        <r>
          <rPr>
            <b/>
            <sz val="8"/>
            <rFont val="Tahoma"/>
            <family val="2"/>
          </rPr>
          <t>michael.nahm:</t>
        </r>
        <r>
          <rPr>
            <sz val="8"/>
            <rFont val="Tahoma"/>
            <family val="2"/>
          </rPr>
          <t xml:space="preserve">
"frisch": vorgetrocknet auf 25%; stimmt auch nicht mit geernteten tfm und der Hackzeit überein.</t>
        </r>
      </text>
    </comment>
  </commentList>
</comments>
</file>

<file path=xl/sharedStrings.xml><?xml version="1.0" encoding="utf-8"?>
<sst xmlns="http://schemas.openxmlformats.org/spreadsheetml/2006/main" count="557" uniqueCount="316">
  <si>
    <t>Dauer der Ernte</t>
  </si>
  <si>
    <t>Wahl der Erntemaschine</t>
  </si>
  <si>
    <t>Bodenqualität</t>
  </si>
  <si>
    <t>Schmidt-Anbauhacker</t>
  </si>
  <si>
    <t>Ny Vraa-Anbauhacker</t>
  </si>
  <si>
    <t xml:space="preserve">Größter Stammdurchmesser in </t>
  </si>
  <si>
    <t>Rutenernter Stemster</t>
  </si>
  <si>
    <t xml:space="preserve">     Schnitthöhe [cm]</t>
  </si>
  <si>
    <r>
      <t>Traktor mit Kippanhänger (20m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</si>
  <si>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Hakenliftcontainer (35m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</si>
  <si>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Schubboden-Anhänger (40m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</si>
  <si>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Sattelschlepper (80m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</si>
  <si>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Anzahl benötigter Transport-</t>
  </si>
  <si>
    <t>Pappel</t>
  </si>
  <si>
    <t>Weide</t>
  </si>
  <si>
    <t>Robinie</t>
  </si>
  <si>
    <t>Ergebnisse</t>
  </si>
  <si>
    <t xml:space="preserve">     Anzahl Kilometer Feldweg [km]</t>
  </si>
  <si>
    <t xml:space="preserve">     Anzahl Kilometer Straße [km]</t>
  </si>
  <si>
    <t xml:space="preserve">Angenommener Verkaufspreis </t>
  </si>
  <si>
    <t>schlecht</t>
  </si>
  <si>
    <t>mittel</t>
  </si>
  <si>
    <t>gut</t>
  </si>
  <si>
    <t>Stammdurchmesser</t>
  </si>
  <si>
    <t>Mähhacker</t>
  </si>
  <si>
    <t>Claas + HS2-Vorsatz</t>
  </si>
  <si>
    <t>Krone mit Hüttmann-Vorsatz</t>
  </si>
  <si>
    <t>New Holland-Mähhäcksler</t>
  </si>
  <si>
    <t>Dauer der Ernte [h]</t>
  </si>
  <si>
    <r>
      <t>LKW für Hakenlift-Container + Hänger (70m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</si>
  <si>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Gesamt-Erntekosten pro ha</t>
  </si>
  <si>
    <t>Gesamt-Erntekosten pro t atro</t>
  </si>
  <si>
    <t xml:space="preserve">     für den Weitertransport</t>
  </si>
  <si>
    <t xml:space="preserve">Anzahl der notwendigen </t>
  </si>
  <si>
    <t xml:space="preserve">     Transportfahrten</t>
  </si>
  <si>
    <t>Geschätzte Biomasse auf dem Feld</t>
  </si>
  <si>
    <t>Gesamt-Erntekosten pro srm</t>
  </si>
  <si>
    <t>[ha]</t>
  </si>
  <si>
    <t>Maschinen:</t>
  </si>
  <si>
    <t>Länge der Überfahrt</t>
  </si>
  <si>
    <t>[km]</t>
  </si>
  <si>
    <t>[h]</t>
  </si>
  <si>
    <t>Abstand zwischen den Reihen [m]</t>
  </si>
  <si>
    <t>Bei Doppelreihen: Abstand zwischen</t>
  </si>
  <si>
    <t xml:space="preserve">     den zwei Reihen einer Do-R. [m]</t>
  </si>
  <si>
    <t>[km / h]</t>
  </si>
  <si>
    <t>Erntegeschwindigkeit HZ</t>
  </si>
  <si>
    <t>Wendezeit</t>
  </si>
  <si>
    <t>Geschw. Straße</t>
  </si>
  <si>
    <t>Km Feldweg</t>
  </si>
  <si>
    <t>Km Straße</t>
  </si>
  <si>
    <t>Transportfahrt</t>
  </si>
  <si>
    <t>Dauer Abladen</t>
  </si>
  <si>
    <t xml:space="preserve"> [h] </t>
  </si>
  <si>
    <t xml:space="preserve">Geschw. Feldweg </t>
  </si>
  <si>
    <t>Rückweg (leer)</t>
  </si>
  <si>
    <t>Hinweg (voll)</t>
  </si>
  <si>
    <t>Hinweg (leer)</t>
  </si>
  <si>
    <t>Traktorgespanne</t>
  </si>
  <si>
    <t>LKWs</t>
  </si>
  <si>
    <t>[min]</t>
  </si>
  <si>
    <t>Befüllung der Transporteinheit</t>
  </si>
  <si>
    <t>Wahl_der_Erntemaschine</t>
  </si>
  <si>
    <t>Alter_der_Triebe</t>
  </si>
  <si>
    <t>Anzahl_Transporteinheiten</t>
  </si>
  <si>
    <t>(Aufgerundet)</t>
  </si>
  <si>
    <t>Kosten pro Stunde</t>
  </si>
  <si>
    <t>Anzahl der Transporteinheiten</t>
  </si>
  <si>
    <t>[€]</t>
  </si>
  <si>
    <t>Wahl der Transporteinheiten</t>
  </si>
  <si>
    <t>Wahl_der_Transporteinheiten</t>
  </si>
  <si>
    <t>Transporteinheiten</t>
  </si>
  <si>
    <t>[€ / h]</t>
  </si>
  <si>
    <t>Kosten_der_Transporteinheiten</t>
  </si>
  <si>
    <t xml:space="preserve"> [ha] </t>
  </si>
  <si>
    <t xml:space="preserve">Maschinen </t>
  </si>
  <si>
    <t xml:space="preserve">     Transport und Lagerung)</t>
  </si>
  <si>
    <t>Gesamt-Erntekosten (inkl.</t>
  </si>
  <si>
    <t xml:space="preserve">     und Gesamt-Erntekosten</t>
  </si>
  <si>
    <t>[t atro]</t>
  </si>
  <si>
    <t>Eingaben zur Ertragsschätzung</t>
  </si>
  <si>
    <t>Alter</t>
  </si>
  <si>
    <t>sehr gut</t>
  </si>
  <si>
    <t>sehr schlecht</t>
  </si>
  <si>
    <t>Wahl_der_Bodenqualität</t>
  </si>
  <si>
    <t>Wahl_des_Triebalters</t>
  </si>
  <si>
    <t>Ertrag des Feldes</t>
  </si>
  <si>
    <t xml:space="preserve">   Feldlänge [m]</t>
  </si>
  <si>
    <t xml:space="preserve">   Länge des Vorgewendes [m]</t>
  </si>
  <si>
    <t xml:space="preserve">   Feldbreite [m] </t>
  </si>
  <si>
    <t xml:space="preserve">   Wasserverfügbarkeit, Bodenqualität</t>
  </si>
  <si>
    <t xml:space="preserve">        und Anwuchserfolg</t>
  </si>
  <si>
    <t xml:space="preserve">        Bepflanztes Feldareal [ha] </t>
  </si>
  <si>
    <t xml:space="preserve">Fahrt / Füllen + 1 </t>
  </si>
  <si>
    <t>Gesamt-Erntekosten pro MWh</t>
  </si>
  <si>
    <t>Dauer des Transports</t>
  </si>
  <si>
    <t>Kosten_der_Transporteinheiten_2</t>
  </si>
  <si>
    <t>Anzahl der notwendigen Fahrten</t>
  </si>
  <si>
    <t>Anzahl_Transportfahrten</t>
  </si>
  <si>
    <t>Schüttraummeter</t>
  </si>
  <si>
    <t>Erzeugte</t>
  </si>
  <si>
    <t>Gesamtdauer Transportfahrten</t>
  </si>
  <si>
    <t xml:space="preserve">     Ernte</t>
  </si>
  <si>
    <t xml:space="preserve">Verteilung der Kosten: </t>
  </si>
  <si>
    <t>Wahl_der Transporteinheiten_2</t>
  </si>
  <si>
    <t xml:space="preserve">   Alter der Triebe [Jahre]</t>
  </si>
  <si>
    <t>Erlös für die Biomasse</t>
  </si>
  <si>
    <t xml:space="preserve">Differenz zw. Erlös </t>
  </si>
  <si>
    <t>[t atro / ha / a]</t>
  </si>
  <si>
    <t>Alternative Eingabe:</t>
  </si>
  <si>
    <t xml:space="preserve">Alternative Eingabe: </t>
  </si>
  <si>
    <t xml:space="preserve">     Einheiten</t>
  </si>
  <si>
    <t xml:space="preserve">     Kosten des Hackgut-Transports [€] </t>
  </si>
  <si>
    <t xml:space="preserve">     Kosten der Erntemaschine [€ / h] </t>
  </si>
  <si>
    <t xml:space="preserve">[srm Frischmaterial]  </t>
  </si>
  <si>
    <t xml:space="preserve">[t atro]  </t>
  </si>
  <si>
    <t xml:space="preserve">[€ / srm Frischmaterial]  </t>
  </si>
  <si>
    <t xml:space="preserve">[€ / t atro]  </t>
  </si>
  <si>
    <t xml:space="preserve">     Kosten für Lagerung,  Verladung </t>
  </si>
  <si>
    <t>Entfernung zum Zielort:</t>
  </si>
  <si>
    <t>Hier klicken und auswählen</t>
  </si>
  <si>
    <t>Bitte wählen Sie eine Erntemaschine aus.</t>
  </si>
  <si>
    <t>Alternative Eingabe: Direkte Schätzung</t>
  </si>
  <si>
    <t xml:space="preserve">     Dauer der Fahrt Feld - Zielort [min]</t>
  </si>
  <si>
    <t>Alternative Eingabe Transportdauer [min]</t>
  </si>
  <si>
    <t>Bepflanztes Feldareal</t>
  </si>
  <si>
    <t>Alternative Angaben zu unregelmäßig geformten Feldern:</t>
  </si>
  <si>
    <t>Kosten</t>
  </si>
  <si>
    <t>Erlös</t>
  </si>
  <si>
    <t xml:space="preserve">Für den optionalen Weitertransport </t>
  </si>
  <si>
    <t>Eingaben für Hackgutlinien</t>
  </si>
  <si>
    <t>Transportkosten der Erntemaschine [€]</t>
  </si>
  <si>
    <t xml:space="preserve">     und den Weitertransport [€] </t>
  </si>
  <si>
    <t xml:space="preserve">     Lagerung und Weitertransport</t>
  </si>
  <si>
    <t xml:space="preserve">     Transport der Erntemaschine</t>
  </si>
  <si>
    <t>"Harwarder"</t>
  </si>
  <si>
    <t>Kosten des Hackers [€ / h]</t>
  </si>
  <si>
    <t>Wahl_der Transporteinheiten_3</t>
  </si>
  <si>
    <t>Wahl_der_Erntemaschine_2</t>
  </si>
  <si>
    <t xml:space="preserve">     Kosten des Hackers [€ / srm]</t>
  </si>
  <si>
    <t>Transportkosten des Hackers [€]</t>
  </si>
  <si>
    <t xml:space="preserve">     Transport der Biomasse</t>
  </si>
  <si>
    <t xml:space="preserve">     Hacken und Transport)</t>
  </si>
  <si>
    <t>Kosten der Lagerung der Bäume [€]</t>
  </si>
  <si>
    <t>Angaben zum Feld und zur Biomasse</t>
  </si>
  <si>
    <t xml:space="preserve">     der Biomasse [€] </t>
  </si>
  <si>
    <t>Hackgutlinien</t>
  </si>
  <si>
    <t>Kosten_der_Transporteinheiten_3</t>
  </si>
  <si>
    <t>Dauer_Abladen</t>
  </si>
  <si>
    <t xml:space="preserve">Zeitdauer </t>
  </si>
  <si>
    <t>Befüllung_der_Transporteinheit</t>
  </si>
  <si>
    <t>Dauer des Hackens</t>
  </si>
  <si>
    <t>Dauer des Hackens [h]</t>
  </si>
  <si>
    <t>Kosten der Transporteinheiten</t>
  </si>
  <si>
    <t>Ernte</t>
  </si>
  <si>
    <t>Hacken</t>
  </si>
  <si>
    <t>Geschätzte Biomasse [srm]</t>
  </si>
  <si>
    <t xml:space="preserve">     Hacken </t>
  </si>
  <si>
    <t>Weiter von alternativer Eingabe Transportdauer [min]</t>
  </si>
  <si>
    <t>Anzahl_Transporteinheiten_2</t>
  </si>
  <si>
    <t xml:space="preserve">     Lagerung und Transport </t>
  </si>
  <si>
    <t xml:space="preserve">     Kosten für  den Transport</t>
  </si>
  <si>
    <t>Transport der Erntemaschine</t>
  </si>
  <si>
    <t xml:space="preserve">Hacken </t>
  </si>
  <si>
    <t xml:space="preserve">Lagerung und Transport </t>
  </si>
  <si>
    <t>Transport der Biomasse</t>
  </si>
  <si>
    <t>Lagerung und Weitertransport</t>
  </si>
  <si>
    <t>Angaben zur Erntemaschine</t>
  </si>
  <si>
    <t>Angaben zu Erntemaschinen und Transporteinheiten</t>
  </si>
  <si>
    <t>Angaben zu Lagerung, Hacken und Transport der Biomasse</t>
  </si>
  <si>
    <t>Dauer einer Transportfahrt [min]</t>
  </si>
  <si>
    <t xml:space="preserve">Dauer der </t>
  </si>
  <si>
    <t>Dauer der</t>
  </si>
  <si>
    <t>Transportfahrt_2</t>
  </si>
  <si>
    <t>Durchschnittliche</t>
  </si>
  <si>
    <t>Erntezeit_GAZ_1</t>
  </si>
  <si>
    <t>Erntezeit_GAZ_2</t>
  </si>
  <si>
    <t xml:space="preserve">Leistung (GAZ) der </t>
  </si>
  <si>
    <t>Erntezeit_GAZ_3</t>
  </si>
  <si>
    <t>Erntezeit_GAZ_4</t>
  </si>
  <si>
    <t>Motorsäge mit Vorkonzentrieren</t>
  </si>
  <si>
    <t>Transporteinheiten_2</t>
  </si>
  <si>
    <t>[m]</t>
  </si>
  <si>
    <t xml:space="preserve">Fassungs- </t>
  </si>
  <si>
    <t>vermögen</t>
  </si>
  <si>
    <t>Dauer der Hackung</t>
  </si>
  <si>
    <t>Massedurchsatz</t>
  </si>
  <si>
    <t>[ t atro / ha]</t>
  </si>
  <si>
    <t>Ertrag des Feldes / ha</t>
  </si>
  <si>
    <t>Beladen:</t>
  </si>
  <si>
    <t>Befüllung_der_Transporteinheit_2</t>
  </si>
  <si>
    <t>Dauer_der_Transportfahrt</t>
  </si>
  <si>
    <t>Dauer_der_Transportfahrt_2</t>
  </si>
  <si>
    <t xml:space="preserve"> = Auswahlfeld im Blatt Hackgutlinien (C8)</t>
  </si>
  <si>
    <t xml:space="preserve"> = Auswahlfeld im Blatt Hackgutlinien (C15)</t>
  </si>
  <si>
    <t xml:space="preserve"> = entsprechende Spalte im Blatt Ernte (C40-C45)</t>
  </si>
  <si>
    <t xml:space="preserve"> = entsprechende Spalte im Blatt Ernte (I9-I14)</t>
  </si>
  <si>
    <t xml:space="preserve"> = entsprechende Spalte im Blatt Ernte (G40-G45)</t>
  </si>
  <si>
    <t xml:space="preserve"> = entsprechende Spalte im Blatt Ernte (F9-F14)</t>
  </si>
  <si>
    <t xml:space="preserve"> = entsprechende Spalte im Blatt Ernte (F24-F29)</t>
  </si>
  <si>
    <t xml:space="preserve"> = entsprechende Spalte im Blatt Ernte (F40-F45)</t>
  </si>
  <si>
    <t xml:space="preserve"> = entsprechende Spalte im Blatt Ernte (F53-F58)</t>
  </si>
  <si>
    <t xml:space="preserve"> = Auswahlfeld im Blatt Ertragsschätzung (C13)</t>
  </si>
  <si>
    <t xml:space="preserve"> = Auswahlfeld im Blatt Ertragsschätzung (C16)</t>
  </si>
  <si>
    <t xml:space="preserve"> = Auswahlfeld im Blatt Ertragsschätzung (C18)</t>
  </si>
  <si>
    <t>Dauer_Abladen_2</t>
  </si>
  <si>
    <t xml:space="preserve">Für die Berechnungen der Ergebnisse wurden folgende Namen definiert: </t>
  </si>
  <si>
    <t>KUP-Ernteplaner</t>
  </si>
  <si>
    <t>Herausgeber und copyright:</t>
  </si>
  <si>
    <t>Wonnhaldestraße 4, 79100 Freiburg</t>
  </si>
  <si>
    <t>Forstliche Versuchs- und Forschungsanstalt Baden-Württemberg (FVA)</t>
  </si>
  <si>
    <t>Eine Haftung schließen wir aus.</t>
  </si>
  <si>
    <t>copyright: FVA Freiburg</t>
  </si>
  <si>
    <t xml:space="preserve">Diesen Kosten wird der zu erwartende Erlös für die Biomasse gegenübergestellt. </t>
  </si>
  <si>
    <t>Blatt Ertragsschätzung</t>
  </si>
  <si>
    <t>Blatt Hackgutlinien</t>
  </si>
  <si>
    <t>Dieses Blatt dient der Abschätzung der Biomasse, die auf dem in Frage kommenden Feld steht. Es bildet die Grundlage für die weiteren Berechnungen.</t>
  </si>
  <si>
    <t xml:space="preserve">Die hier ermittelten Werte (in Schüttraummeter Frischmasse und in Tonnen absolut trockener Biomasse) werden auf die beiden Blätter "Hackgutlinien" und "Ganzbaumlinien" übertragen. </t>
  </si>
  <si>
    <t xml:space="preserve">Sollen die Hackschnitzel direkt aus den frisch geernteten Bäumen produziert werden, ist dieses Blatt zu wählen. </t>
  </si>
  <si>
    <t>Die Weitergabe unveränderter Kopien dieses Programms ist zulässig und erwünscht.</t>
  </si>
  <si>
    <t>Die Veränderung dieses Programms und die Weitergabe veränderter Kopien ist jedoch ausdrücklich untersagt.</t>
  </si>
  <si>
    <t xml:space="preserve">Bei diesen Ernteverfahren kommen üblicherweise die Motorsäge, Forsttechnik oder der Ganzbaum-Ernter "Stemster" zum Einsatz. </t>
  </si>
  <si>
    <t>Dieses Programm wurde im Rahmen des Projekts "Kostenreduktion und Effizienzsteigerung von Kurzumtriebsbewirtschaftung" (CREFF) erstellt.</t>
  </si>
  <si>
    <t xml:space="preserve">über die Fachagentur Nachwachsende Rohstoffe e.V. (FNR) gefördert. </t>
  </si>
  <si>
    <t xml:space="preserve">Das Projekt CREFF wurde mit Mitteln des Bundesministeriums für Ernährung, Landwirtschaft und Verbraucherschutz (BMELV) unter dem Förderkennzeichen 22010308 </t>
  </si>
  <si>
    <t>Die Verantwortung für dieses Programm liegt bei dem Herausgeber.</t>
  </si>
  <si>
    <t>Tel.: 0761 / 4018-0; Fax: 0761 / 4018-333; E-Mail: fva-bw@forst.bwl.de</t>
  </si>
  <si>
    <t>Was bei der Dateneingabe zu beachten ist</t>
  </si>
  <si>
    <t xml:space="preserve">Für Kommentare, Anregungen und Verbesserungsvorschläge sind wir jederzeit dankbar. </t>
  </si>
  <si>
    <t>Für Aktualität, Korrektheit und Vollständigkeit kann keine Gewähr übernommen werden.</t>
  </si>
  <si>
    <t xml:space="preserve">Da manche Daten sich nicht immer über standardisierte Rechenverfahren ermitteln lassen und oft individuelle Lösungen eingesetzt werden, sind auf jedem Blatt alternative </t>
  </si>
  <si>
    <t xml:space="preserve">Dieses Programm dient der Berechnung von Kosten, die bei der Ernte und dem Transport von Biomasse von </t>
  </si>
  <si>
    <t>Kurzumtriebsplantagen (KUP) anfallen.</t>
  </si>
  <si>
    <t>Der KUP-Ernteplaner soll helfen, die Planung der Ernte zu verbessern.</t>
  </si>
  <si>
    <t>Über die Eingabe von feldspezifischen Daten und die Angabe der gewählten Erntemethode lassen sich individuelle</t>
  </si>
  <si>
    <r>
      <t>Traktor mit Kippanhänger (20m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</si>
  <si>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Hakenliftcontainer (35m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</si>
  <si>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Schubboden-Anhänger (40m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</si>
  <si>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Situationsgegebenheiten realitätsnah abbilden. </t>
  </si>
  <si>
    <t xml:space="preserve">Für die Berechnungen dienen drei verschiedene Blätter. </t>
  </si>
  <si>
    <t xml:space="preserve">Alternative Eingabe für Schüttraummeter: </t>
  </si>
  <si>
    <t>Fäller-Bündler und Rückezug</t>
  </si>
  <si>
    <t>Vollernter und Rückezug</t>
  </si>
  <si>
    <t>Produktivität</t>
  </si>
  <si>
    <t>[a]</t>
  </si>
  <si>
    <t xml:space="preserve">                                           [t atro]</t>
  </si>
  <si>
    <t xml:space="preserve">                      [srm Frischmaterial]</t>
  </si>
  <si>
    <t xml:space="preserve">Geschätzte Verlade- und </t>
  </si>
  <si>
    <t xml:space="preserve">     Lagerungskosten [€]</t>
  </si>
  <si>
    <r>
      <t xml:space="preserve">Eingabefelder vorhanden (hinterlegt mit </t>
    </r>
    <r>
      <rPr>
        <sz val="10"/>
        <color indexed="12"/>
        <rFont val="Arial"/>
        <family val="2"/>
      </rPr>
      <t>blauer Farbe</t>
    </r>
    <r>
      <rPr>
        <sz val="10"/>
        <rFont val="Arial"/>
        <family val="0"/>
      </rPr>
      <t>). Werden hier alternative Daten eingegeben, greift das Programm auf diese zurück.</t>
    </r>
  </si>
  <si>
    <r>
      <t>Wichtig:</t>
    </r>
    <r>
      <rPr>
        <sz val="10"/>
        <rFont val="Arial"/>
        <family val="0"/>
      </rPr>
      <t xml:space="preserve"> Sollen dort eingetragene Daten nicht verwendet werden, müssen sie aus diesen Feldern wieder </t>
    </r>
    <r>
      <rPr>
        <b/>
        <sz val="10"/>
        <rFont val="Arial"/>
        <family val="2"/>
      </rPr>
      <t>entfernt</t>
    </r>
    <r>
      <rPr>
        <sz val="10"/>
        <rFont val="Arial"/>
        <family val="0"/>
      </rPr>
      <t xml:space="preserve"> werden.</t>
    </r>
  </si>
  <si>
    <t xml:space="preserve">Im Einzelfall können in Abhängigkeit von den Situationsbedingungen erhebliche Abweichungen von den angezeigten Werten auftreten. </t>
  </si>
  <si>
    <t xml:space="preserve">Die Daten zu den Ernteverfahren finden sich im oberen Abschnitt, die Angaben für einen etwaigen Weitertransport mit Umladen der Biomasse im unteren Abschnitt. </t>
  </si>
  <si>
    <t xml:space="preserve">   Geschätzte Biomasse auf dem Feld beim ersten Umtrieb</t>
  </si>
  <si>
    <t xml:space="preserve">Das vorliegende Programm repräsentiert den Stand vom Mai 2012.  </t>
  </si>
  <si>
    <t>Ansprechpartner für das Programm: Dr. Michael Nahm (Tel. 0761 / 4018-271; E-Mail: michael.nahm@forst.bwl.de),</t>
  </si>
  <si>
    <t xml:space="preserve">Abteilung Waldnutzung (AL: Dr. Udo Hans Sauter). </t>
  </si>
  <si>
    <t>Durchschnittswerte vor. Dies gilt ebenfalls für die Leistungsdaten der verschiedenen Erntemethoden in Folgeumtrieben.</t>
  </si>
  <si>
    <r>
      <t xml:space="preserve">Sie beziehen sich jedoch nur auf den </t>
    </r>
    <r>
      <rPr>
        <b/>
        <sz val="10"/>
        <rFont val="Arial"/>
        <family val="2"/>
      </rPr>
      <t>Zuwachs des ersten Umtriebs</t>
    </r>
    <r>
      <rPr>
        <sz val="10"/>
        <rFont val="Arial"/>
        <family val="0"/>
      </rPr>
      <t>. Für die Folgeumtriebe sind höhere Zuwachsraten zu erwarten, jedoch liegen hierzu noch keine belastbaren</t>
    </r>
  </si>
  <si>
    <t xml:space="preserve"> = Überschriften im Blatt Erträge (C8-E8)</t>
  </si>
  <si>
    <t xml:space="preserve"> = entsprechende Spalte im Blatt Erträge (B10-B14)</t>
  </si>
  <si>
    <t xml:space="preserve">Bei diesen Ernteverfahren kommen üblicherweise für die Holzernte umgerüstete Feldhäcksler oder Traktoren mit Anbauhackern zum Einsatz. </t>
  </si>
  <si>
    <t>Auch Bäume mit einem Durchmesser von mehr als 15 cm in Schnitthöhe können nur mittels dieser Verfahren verwertet werden, wobei die Ernte der Bäume getrennt von ihrer Hackung erfolgt.</t>
  </si>
  <si>
    <r>
      <t xml:space="preserve">Felder, die mit einer Auswahlliste hinterlegt sind, sind mit einem </t>
    </r>
    <r>
      <rPr>
        <sz val="10"/>
        <color indexed="53"/>
        <rFont val="Arial"/>
        <family val="2"/>
      </rPr>
      <t>orangen</t>
    </r>
    <r>
      <rPr>
        <sz val="10"/>
        <rFont val="Arial"/>
        <family val="0"/>
      </rPr>
      <t xml:space="preserve"> Hintergrund versehen; Ausgabefelder mit einem </t>
    </r>
    <r>
      <rPr>
        <sz val="10"/>
        <color indexed="10"/>
        <rFont val="Arial"/>
        <family val="2"/>
      </rPr>
      <t xml:space="preserve">hellroten </t>
    </r>
    <r>
      <rPr>
        <sz val="10"/>
        <color indexed="8"/>
        <rFont val="Arial"/>
        <family val="2"/>
      </rPr>
      <t>Hintergrund.</t>
    </r>
  </si>
  <si>
    <t xml:space="preserve">In den hellgrün gefärbten Spalten auf der linken Seite befinden sich alle Eingabefelder, in den Spalten rechts daneben werden die automatisch berechneten Ergebnisse angezeigt. </t>
  </si>
  <si>
    <t xml:space="preserve">   Pflanzabstand zum Nachbarfeld [m]</t>
  </si>
  <si>
    <t>Ergebnis der Ertragsschätzung:</t>
  </si>
  <si>
    <t xml:space="preserve">   Baumart</t>
  </si>
  <si>
    <t>Baumart</t>
  </si>
  <si>
    <t>Wahl_der_Baumart</t>
  </si>
  <si>
    <t>Dennoch ist zu beachten, dass die angezeigten Resultate auf Durchschnittswerten beruhen, die auf Flächen erhoben</t>
  </si>
  <si>
    <t xml:space="preserve">worden sind, die weitestgehend problemlos zu beernten waren (ebenerdig, gut befahrbarer Boden). </t>
  </si>
  <si>
    <t>Er wurde speziell darauf ausgerichtet, sowohl den unterschiedlichen standörtlichen Gegebenheiten eines Feldes als</t>
  </si>
  <si>
    <t>auch den unterschiedlichen möglichen Erntemethoden Rechnung zu tragen.</t>
  </si>
  <si>
    <t>Bei der Ernte</t>
  </si>
  <si>
    <t>Mengendurchsatz</t>
  </si>
  <si>
    <t xml:space="preserve"> [Srm]</t>
  </si>
  <si>
    <t>[Srm / min GAZ]</t>
  </si>
  <si>
    <t>[Srm / min]</t>
  </si>
  <si>
    <t xml:space="preserve"> [ha / h]</t>
  </si>
  <si>
    <t xml:space="preserve"> = Auswahlfeld im Blatt Vollbaumlinien (C8)</t>
  </si>
  <si>
    <t>Blatt Vollbaumlinien</t>
  </si>
  <si>
    <t xml:space="preserve">Sollen die Hackschnitzel erst einige Zeit nach der Ernte aus vorgetrockneten Vollbäumen erzeugt werden, ist dieses Blatt zu wählen. </t>
  </si>
  <si>
    <t>Vollbaumlinien</t>
  </si>
  <si>
    <t xml:space="preserve"> = entsprechende Spalte im Blatt Transport (C16-C19)</t>
  </si>
  <si>
    <t xml:space="preserve"> = entsprechende Spalte im Blatt Transport (C39-C44)</t>
  </si>
  <si>
    <t xml:space="preserve"> = entsprechende Spalte im Blatt Ernte (C9-C14)</t>
  </si>
  <si>
    <t xml:space="preserve"> = Auswahlfeld im Blatt Vollbaumlinien (C44)</t>
  </si>
  <si>
    <t xml:space="preserve"> = Auswahlfeld im Blatt Hackgutlinien (C59)</t>
  </si>
  <si>
    <t xml:space="preserve"> = entsprechende Spalte im Blatt Transport (D25-D28)</t>
  </si>
  <si>
    <t>Traktor mit Kippanhänger (20m3)</t>
  </si>
  <si>
    <t xml:space="preserve"> = entsprechende Spalte im Blatt Transport (D74-D79)</t>
  </si>
  <si>
    <t xml:space="preserve"> = entsprechende Spalte im Blatt Transport (Q63-Q68)</t>
  </si>
  <si>
    <t xml:space="preserve"> = entsprechende Spalte im Blatt Transport (P16-P19)</t>
  </si>
  <si>
    <t>Angaben für Lagerung und Weitertransport</t>
  </si>
  <si>
    <t>Eingaben für Vollbaumlinien</t>
  </si>
  <si>
    <t>Vollbaumernter</t>
  </si>
  <si>
    <t>Erntekosten_pro_Stunde</t>
  </si>
  <si>
    <t>Erntekosten_pro_Stunde_2</t>
  </si>
  <si>
    <t xml:space="preserve"> = entsprechende Spalte im Blatt Transport (Q39-Q44)</t>
  </si>
  <si>
    <t xml:space="preserve"> = entsprechende Spalte im Blatt Transport (G25-G28)</t>
  </si>
  <si>
    <t xml:space="preserve"> = entsprechende Spalte im Blatt Transport (F50-F55)</t>
  </si>
  <si>
    <t xml:space="preserve"> = entsprechende Spalte im Blatt Transport (G74-G79)</t>
  </si>
  <si>
    <t xml:space="preserve"> = entsprechende Spalte im Blatt Transport (F16-F19)</t>
  </si>
  <si>
    <t xml:space="preserve"> = entsprechende Spalte im Blatt Transport (F63-F68)</t>
  </si>
  <si>
    <t xml:space="preserve"> = entsprechende Spalte im Blatt Transport (K16-K19)</t>
  </si>
  <si>
    <t xml:space="preserve"> = entsprechende Spalte im Blatt Transport (K63-K68)</t>
  </si>
  <si>
    <t xml:space="preserve"> = entsprechende Spalte im Blatt Transport (N16-N19)</t>
  </si>
  <si>
    <t xml:space="preserve"> = entsprechende Spalte im Blatt Transport (N63-N68)</t>
  </si>
  <si>
    <t>Transportkosten_pro_Stunde</t>
  </si>
  <si>
    <t>Transportkosten_pro_Stunde_2</t>
  </si>
  <si>
    <t>Transportkosten pro Stunde</t>
  </si>
  <si>
    <t>Transportkosten pro Stunde_2</t>
  </si>
  <si>
    <t>Version 1.1</t>
  </si>
  <si>
    <t>Stand 01.11.2012</t>
  </si>
  <si>
    <t>(Summe beider Feldseiten)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</si>
</sst>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-* #,##0.00\ [$€-1]_-;\-* #,##0.00\ [$€-1]_-;_-* &quot;-&quot;??\ [$€-1]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1" fontId="20" fillId="36" borderId="11" xfId="0" applyNumberFormat="1" applyFont="1" applyFill="1" applyBorder="1" applyAlignment="1" applyProtection="1">
      <alignment horizontal="center" vertical="center"/>
      <protection/>
    </xf>
    <xf numFmtId="1" fontId="0" fillId="36" borderId="11" xfId="0" applyNumberFormat="1" applyFont="1" applyFill="1" applyBorder="1" applyAlignment="1" applyProtection="1">
      <alignment horizontal="center" vertical="center"/>
      <protection/>
    </xf>
    <xf numFmtId="1" fontId="13" fillId="36" borderId="1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165" fontId="1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" fontId="14" fillId="37" borderId="11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" fontId="14" fillId="38" borderId="11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0" fillId="36" borderId="12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0" fillId="34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26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4" fillId="33" borderId="10" xfId="0" applyFont="1" applyFill="1" applyBorder="1" applyAlignment="1" applyProtection="1">
      <alignment horizontal="right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/>
    </xf>
    <xf numFmtId="0" fontId="14" fillId="33" borderId="14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11" fillId="34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3" fillId="34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 horizontal="center"/>
      <protection/>
    </xf>
    <xf numFmtId="1" fontId="26" fillId="34" borderId="0" xfId="0" applyNumberFormat="1" applyFont="1" applyFill="1" applyAlignment="1" applyProtection="1">
      <alignment horizontal="center"/>
      <protection/>
    </xf>
    <xf numFmtId="0" fontId="30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center"/>
    </xf>
    <xf numFmtId="165" fontId="0" fillId="36" borderId="11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13" fillId="34" borderId="0" xfId="0" applyFont="1" applyFill="1" applyAlignment="1" applyProtection="1">
      <alignment vertical="center"/>
      <protection/>
    </xf>
    <xf numFmtId="0" fontId="33" fillId="34" borderId="0" xfId="0" applyFont="1" applyFill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6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36" fillId="34" borderId="18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11" fillId="0" borderId="0" xfId="0" applyFont="1" applyBorder="1" applyAlignment="1">
      <alignment horizontal="left"/>
    </xf>
    <xf numFmtId="0" fontId="0" fillId="39" borderId="0" xfId="0" applyFill="1" applyAlignment="1">
      <alignment/>
    </xf>
    <xf numFmtId="0" fontId="0" fillId="34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40" borderId="0" xfId="0" applyFont="1" applyFill="1" applyAlignment="1">
      <alignment/>
    </xf>
    <xf numFmtId="0" fontId="36" fillId="34" borderId="0" xfId="0" applyFont="1" applyFill="1" applyAlignment="1">
      <alignment/>
    </xf>
    <xf numFmtId="165" fontId="1" fillId="0" borderId="0" xfId="0" applyNumberFormat="1" applyFont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165" fontId="33" fillId="36" borderId="11" xfId="0" applyNumberFormat="1" applyFont="1" applyFill="1" applyBorder="1" applyAlignment="1" applyProtection="1">
      <alignment horizontal="center" vertical="center"/>
      <protection/>
    </xf>
    <xf numFmtId="1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/>
    </xf>
    <xf numFmtId="0" fontId="12" fillId="0" borderId="0" xfId="0" applyFont="1" applyAlignment="1" applyProtection="1">
      <alignment/>
      <protection/>
    </xf>
    <xf numFmtId="165" fontId="0" fillId="0" borderId="0" xfId="0" applyNumberFormat="1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36" borderId="11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center"/>
      <protection locked="0"/>
    </xf>
    <xf numFmtId="0" fontId="14" fillId="38" borderId="11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3" fillId="38" borderId="1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26" fillId="0" borderId="0" xfId="0" applyFont="1" applyAlignment="1" applyProtection="1">
      <alignment/>
      <protection/>
    </xf>
    <xf numFmtId="0" fontId="38" fillId="33" borderId="0" xfId="0" applyFont="1" applyFill="1" applyAlignment="1">
      <alignment vertical="center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38" fillId="38" borderId="11" xfId="0" applyFont="1" applyFill="1" applyBorder="1" applyAlignment="1" applyProtection="1">
      <alignment horizontal="center" vertical="center"/>
      <protection locked="0"/>
    </xf>
    <xf numFmtId="0" fontId="38" fillId="35" borderId="11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/>
      <protection/>
    </xf>
    <xf numFmtId="0" fontId="38" fillId="33" borderId="0" xfId="0" applyFont="1" applyFill="1" applyAlignment="1">
      <alignment horizontal="left" vertical="center"/>
    </xf>
    <xf numFmtId="1" fontId="38" fillId="37" borderId="11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1" fontId="38" fillId="38" borderId="11" xfId="0" applyNumberFormat="1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>
      <alignment horizontal="left" vertical="center"/>
    </xf>
    <xf numFmtId="1" fontId="38" fillId="37" borderId="11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5" fillId="34" borderId="0" xfId="0" applyFont="1" applyFill="1" applyAlignment="1">
      <alignment horizontal="right"/>
    </xf>
    <xf numFmtId="0" fontId="0" fillId="0" borderId="0" xfId="0" applyAlignment="1">
      <alignment/>
    </xf>
    <xf numFmtId="0" fontId="31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1" fillId="34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33" borderId="24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4">
    <dxf>
      <font>
        <color rgb="FFFFFF99"/>
      </font>
    </dxf>
    <dxf>
      <font>
        <color rgb="FF99CCFF"/>
      </font>
    </dxf>
    <dxf>
      <font>
        <color indexed="43"/>
      </font>
    </dxf>
    <dxf>
      <font>
        <b/>
        <i val="0"/>
        <color indexed="10"/>
      </font>
    </dxf>
    <dxf>
      <font>
        <color indexed="43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10"/>
      </font>
      <fill>
        <patternFill patternType="solid">
          <bgColor indexed="9"/>
        </patternFill>
      </fill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43"/>
      </font>
    </dxf>
    <dxf>
      <font>
        <color indexed="9"/>
      </font>
    </dxf>
    <dxf>
      <font>
        <color indexed="10"/>
      </font>
      <fill>
        <patternFill patternType="solid">
          <bgColor indexed="9"/>
        </patternFill>
      </fill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color indexed="47"/>
      </font>
    </dxf>
    <dxf>
      <font>
        <color indexed="43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Kosten und Erlös: Hackgutlinien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5"/>
          <c:w val="0.6252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Hackgutlinien!$J$19</c:f>
              <c:strCache>
                <c:ptCount val="1"/>
                <c:pt idx="0">
                  <c:v>Erlös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Hackgutlinien!$K$19:$L$19</c:f>
              <c:numCache/>
            </c:numRef>
          </c:val>
        </c:ser>
        <c:ser>
          <c:idx val="4"/>
          <c:order val="1"/>
          <c:tx>
            <c:strRef>
              <c:f>Hackgutlinien!$J$23</c:f>
              <c:strCache>
                <c:ptCount val="1"/>
                <c:pt idx="0">
                  <c:v>Lagerung und Weitertransport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Hackgutlinien!$K$23:$L$23</c:f>
              <c:numCache/>
            </c:numRef>
          </c:val>
        </c:ser>
        <c:ser>
          <c:idx val="3"/>
          <c:order val="2"/>
          <c:tx>
            <c:strRef>
              <c:f>Hackgutlinien!$J$22</c:f>
              <c:strCache>
                <c:ptCount val="1"/>
                <c:pt idx="0">
                  <c:v>Transport der Biomasse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Hackgutlinien!$K$22:$L$22</c:f>
              <c:numCache/>
            </c:numRef>
          </c:val>
        </c:ser>
        <c:ser>
          <c:idx val="2"/>
          <c:order val="3"/>
          <c:tx>
            <c:strRef>
              <c:f>Hackgutlinien!$J$21</c:f>
              <c:strCache>
                <c:ptCount val="1"/>
                <c:pt idx="0">
                  <c:v>Ernte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Hackgutlinien!$K$21:$L$21</c:f>
              <c:numCache/>
            </c:numRef>
          </c:val>
        </c:ser>
        <c:ser>
          <c:idx val="1"/>
          <c:order val="4"/>
          <c:tx>
            <c:strRef>
              <c:f>Hackgutlinien!$J$20</c:f>
              <c:strCache>
                <c:ptCount val="1"/>
                <c:pt idx="0">
                  <c:v>Transport der Erntemaschine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Hackgutlinien!$K$20:$L$20</c:f>
              <c:numCache/>
            </c:numRef>
          </c:val>
        </c:ser>
        <c:overlap val="100"/>
        <c:axId val="30602861"/>
        <c:axId val="31222626"/>
      </c:barChart>
      <c:catAx>
        <c:axId val="3060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2626"/>
        <c:crosses val="autoZero"/>
        <c:auto val="1"/>
        <c:lblOffset val="100"/>
        <c:tickLblSkip val="1"/>
        <c:noMultiLvlLbl val="0"/>
      </c:catAx>
      <c:valAx>
        <c:axId val="31222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[€]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21475"/>
          <c:w val="0.287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Kosten und Erlös: Vollbaumlinien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625"/>
          <c:w val="0.627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Vollbaumlinien!$J$20</c:f>
              <c:strCache>
                <c:ptCount val="1"/>
                <c:pt idx="0">
                  <c:v>Erlös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Vollbaumlinien!$K$20:$L$20</c:f>
              <c:numCache/>
            </c:numRef>
          </c:val>
        </c:ser>
        <c:ser>
          <c:idx val="4"/>
          <c:order val="1"/>
          <c:tx>
            <c:strRef>
              <c:f>Vollbaumlinien!$J$24</c:f>
              <c:strCache>
                <c:ptCount val="1"/>
                <c:pt idx="0">
                  <c:v>Lagerung und Transport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Vollbaumlinien!$K$24:$L$24</c:f>
              <c:numCache/>
            </c:numRef>
          </c:val>
        </c:ser>
        <c:ser>
          <c:idx val="3"/>
          <c:order val="2"/>
          <c:tx>
            <c:strRef>
              <c:f>Vollbaumlinien!$J$23</c:f>
              <c:strCache>
                <c:ptCount val="1"/>
                <c:pt idx="0">
                  <c:v>Hacken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Vollbaumlinien!$K$23:$L$23</c:f>
              <c:numCache/>
            </c:numRef>
          </c:val>
        </c:ser>
        <c:ser>
          <c:idx val="2"/>
          <c:order val="3"/>
          <c:tx>
            <c:strRef>
              <c:f>Vollbaumlinien!$J$22</c:f>
              <c:strCache>
                <c:ptCount val="1"/>
                <c:pt idx="0">
                  <c:v>Ernte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Vollbaumlinien!$K$22:$L$22</c:f>
              <c:numCache/>
            </c:numRef>
          </c:val>
        </c:ser>
        <c:ser>
          <c:idx val="1"/>
          <c:order val="4"/>
          <c:tx>
            <c:strRef>
              <c:f>Vollbaumlinien!$J$21</c:f>
              <c:strCache>
                <c:ptCount val="1"/>
                <c:pt idx="0">
                  <c:v>Transport der Erntemaschine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Vollbaumlinien!$K$21:$L$21</c:f>
              <c:numCache/>
            </c:numRef>
          </c:val>
        </c:ser>
        <c:overlap val="100"/>
        <c:axId val="6877547"/>
        <c:axId val="4788696"/>
      </c:barChart>
      <c:catAx>
        <c:axId val="6877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696"/>
        <c:crosses val="autoZero"/>
        <c:auto val="1"/>
        <c:lblOffset val="100"/>
        <c:tickLblSkip val="1"/>
        <c:noMultiLvlLbl val="0"/>
      </c:catAx>
      <c:valAx>
        <c:axId val="4788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[€]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7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21175"/>
          <c:w val="0.277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55</xdr:row>
      <xdr:rowOff>114300</xdr:rowOff>
    </xdr:from>
    <xdr:to>
      <xdr:col>14</xdr:col>
      <xdr:colOff>28575</xdr:colOff>
      <xdr:row>60</xdr:row>
      <xdr:rowOff>142875</xdr:rowOff>
    </xdr:to>
    <xdr:pic>
      <xdr:nvPicPr>
        <xdr:cNvPr id="1" name="Picture 1" descr="Logo_FN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95821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62</xdr:row>
      <xdr:rowOff>114300</xdr:rowOff>
    </xdr:from>
    <xdr:to>
      <xdr:col>15</xdr:col>
      <xdr:colOff>152400</xdr:colOff>
      <xdr:row>68</xdr:row>
      <xdr:rowOff>123825</xdr:rowOff>
    </xdr:to>
    <xdr:pic>
      <xdr:nvPicPr>
        <xdr:cNvPr id="2" name="Picture 2" descr="Logo_FVA mit Schri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744200"/>
          <a:ext cx="3705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55</xdr:row>
      <xdr:rowOff>142875</xdr:rowOff>
    </xdr:from>
    <xdr:to>
      <xdr:col>12</xdr:col>
      <xdr:colOff>371475</xdr:colOff>
      <xdr:row>60</xdr:row>
      <xdr:rowOff>76200</xdr:rowOff>
    </xdr:to>
    <xdr:pic>
      <xdr:nvPicPr>
        <xdr:cNvPr id="3" name="Picture 5" descr="Logo_BMELV_zugeschnitt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9610725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</xdr:row>
      <xdr:rowOff>333375</xdr:rowOff>
    </xdr:from>
    <xdr:to>
      <xdr:col>14</xdr:col>
      <xdr:colOff>152400</xdr:colOff>
      <xdr:row>15</xdr:row>
      <xdr:rowOff>114300</xdr:rowOff>
    </xdr:to>
    <xdr:pic>
      <xdr:nvPicPr>
        <xdr:cNvPr id="4" name="Picture 13" descr="GBE_quadratis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495300"/>
          <a:ext cx="3038475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24</xdr:row>
      <xdr:rowOff>114300</xdr:rowOff>
    </xdr:from>
    <xdr:to>
      <xdr:col>10</xdr:col>
      <xdr:colOff>304800</xdr:colOff>
      <xdr:row>45</xdr:row>
      <xdr:rowOff>104775</xdr:rowOff>
    </xdr:to>
    <xdr:graphicFrame>
      <xdr:nvGraphicFramePr>
        <xdr:cNvPr id="1" name="Diagramm 129"/>
        <xdr:cNvGraphicFramePr/>
      </xdr:nvGraphicFramePr>
      <xdr:xfrm>
        <a:off x="4886325" y="3829050"/>
        <a:ext cx="58293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24</xdr:row>
      <xdr:rowOff>123825</xdr:rowOff>
    </xdr:from>
    <xdr:to>
      <xdr:col>10</xdr:col>
      <xdr:colOff>552450</xdr:colOff>
      <xdr:row>45</xdr:row>
      <xdr:rowOff>114300</xdr:rowOff>
    </xdr:to>
    <xdr:graphicFrame>
      <xdr:nvGraphicFramePr>
        <xdr:cNvPr id="1" name="Diagramm 44"/>
        <xdr:cNvGraphicFramePr/>
      </xdr:nvGraphicFramePr>
      <xdr:xfrm>
        <a:off x="4772025" y="3838575"/>
        <a:ext cx="6296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J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2" spans="2:7" ht="44.25">
      <c r="B2" s="239" t="s">
        <v>207</v>
      </c>
      <c r="C2" s="239"/>
      <c r="D2" s="239"/>
      <c r="E2" s="239"/>
      <c r="F2" s="238"/>
      <c r="G2" s="240"/>
    </row>
    <row r="3" spans="6:7" ht="18">
      <c r="F3" s="237" t="s">
        <v>313</v>
      </c>
      <c r="G3" s="238"/>
    </row>
    <row r="4" spans="6:7" ht="18">
      <c r="F4" s="237" t="s">
        <v>314</v>
      </c>
      <c r="G4" s="238"/>
    </row>
    <row r="8" ht="12.75">
      <c r="B8" s="200" t="s">
        <v>231</v>
      </c>
    </row>
    <row r="9" ht="12.75">
      <c r="B9" s="200" t="s">
        <v>232</v>
      </c>
    </row>
    <row r="10" ht="12.75">
      <c r="B10" s="200" t="s">
        <v>213</v>
      </c>
    </row>
    <row r="12" ht="12.75">
      <c r="B12" s="6" t="s">
        <v>233</v>
      </c>
    </row>
    <row r="13" ht="12.75">
      <c r="B13" s="6" t="s">
        <v>272</v>
      </c>
    </row>
    <row r="14" ht="12.75">
      <c r="B14" s="6" t="s">
        <v>273</v>
      </c>
    </row>
    <row r="15" ht="12.75">
      <c r="B15" s="180" t="s">
        <v>234</v>
      </c>
    </row>
    <row r="16" ht="12.75">
      <c r="B16" s="180" t="s">
        <v>238</v>
      </c>
    </row>
    <row r="17" ht="12.75">
      <c r="B17" s="180" t="s">
        <v>270</v>
      </c>
    </row>
    <row r="18" ht="12.75">
      <c r="B18" s="6" t="s">
        <v>271</v>
      </c>
    </row>
    <row r="19" ht="12.75">
      <c r="B19" s="6" t="s">
        <v>251</v>
      </c>
    </row>
    <row r="20" ht="12.75">
      <c r="B20" s="6" t="s">
        <v>239</v>
      </c>
    </row>
    <row r="23" spans="2:8" ht="12.75">
      <c r="B23" s="181" t="s">
        <v>214</v>
      </c>
      <c r="C23" s="179"/>
      <c r="H23" s="180"/>
    </row>
    <row r="24" ht="12.75">
      <c r="B24" s="6" t="s">
        <v>216</v>
      </c>
    </row>
    <row r="25" ht="12.75">
      <c r="B25" s="6" t="s">
        <v>217</v>
      </c>
    </row>
    <row r="26" ht="12.75">
      <c r="B26" s="6" t="s">
        <v>258</v>
      </c>
    </row>
    <row r="27" ht="12.75">
      <c r="B27" s="6" t="s">
        <v>257</v>
      </c>
    </row>
    <row r="30" spans="2:3" ht="12.75">
      <c r="B30" s="182" t="s">
        <v>215</v>
      </c>
      <c r="C30" s="182"/>
    </row>
    <row r="31" ht="12.75">
      <c r="B31" s="6" t="s">
        <v>218</v>
      </c>
    </row>
    <row r="32" ht="12.75">
      <c r="B32" s="6" t="s">
        <v>261</v>
      </c>
    </row>
    <row r="33" ht="12.75">
      <c r="B33" s="6" t="s">
        <v>252</v>
      </c>
    </row>
    <row r="34" ht="12.75">
      <c r="B34" s="6" t="s">
        <v>264</v>
      </c>
    </row>
    <row r="37" spans="2:3" ht="12.75">
      <c r="B37" s="185" t="s">
        <v>281</v>
      </c>
      <c r="C37" s="186"/>
    </row>
    <row r="38" ht="12.75">
      <c r="B38" s="6" t="s">
        <v>282</v>
      </c>
    </row>
    <row r="39" ht="12.75">
      <c r="B39" s="6" t="s">
        <v>262</v>
      </c>
    </row>
    <row r="40" ht="12.75">
      <c r="B40" s="6" t="s">
        <v>221</v>
      </c>
    </row>
    <row r="43" ht="15">
      <c r="B43" s="183" t="s">
        <v>227</v>
      </c>
    </row>
    <row r="45" ht="12.75">
      <c r="B45" s="6" t="s">
        <v>230</v>
      </c>
    </row>
    <row r="46" ht="12.75">
      <c r="B46" s="6" t="s">
        <v>249</v>
      </c>
    </row>
    <row r="47" ht="12.75">
      <c r="B47" s="200" t="s">
        <v>250</v>
      </c>
    </row>
    <row r="48" ht="12.75">
      <c r="B48" s="6" t="s">
        <v>263</v>
      </c>
    </row>
    <row r="51" ht="12.75">
      <c r="B51" s="6" t="s">
        <v>222</v>
      </c>
    </row>
    <row r="52" ht="12.75">
      <c r="B52" s="163" t="s">
        <v>224</v>
      </c>
    </row>
    <row r="53" ht="12.75">
      <c r="B53" s="6" t="s">
        <v>223</v>
      </c>
    </row>
    <row r="54" ht="12.75">
      <c r="B54" s="6" t="s">
        <v>225</v>
      </c>
    </row>
    <row r="56" spans="2:10" ht="15">
      <c r="B56" s="166" t="s">
        <v>208</v>
      </c>
      <c r="C56" s="167"/>
      <c r="D56" s="168"/>
      <c r="E56" s="168"/>
      <c r="F56" s="168"/>
      <c r="G56" s="168"/>
      <c r="H56" s="168"/>
      <c r="I56" s="168"/>
      <c r="J56" s="169"/>
    </row>
    <row r="57" spans="2:10" ht="12.75">
      <c r="B57" s="170" t="s">
        <v>210</v>
      </c>
      <c r="C57" s="171"/>
      <c r="D57" s="26"/>
      <c r="E57" s="26"/>
      <c r="F57" s="26"/>
      <c r="G57" s="26"/>
      <c r="H57" s="26"/>
      <c r="I57" s="26"/>
      <c r="J57" s="172"/>
    </row>
    <row r="58" spans="2:10" ht="12.75">
      <c r="B58" s="170" t="s">
        <v>209</v>
      </c>
      <c r="C58" s="171"/>
      <c r="D58" s="26"/>
      <c r="E58" s="26"/>
      <c r="F58" s="26"/>
      <c r="G58" s="26"/>
      <c r="H58" s="26"/>
      <c r="I58" s="26"/>
      <c r="J58" s="172"/>
    </row>
    <row r="59" spans="2:10" ht="12.75">
      <c r="B59" s="170" t="s">
        <v>226</v>
      </c>
      <c r="C59" s="171"/>
      <c r="D59" s="26"/>
      <c r="E59" s="26"/>
      <c r="F59" s="26"/>
      <c r="G59" s="26"/>
      <c r="H59" s="26"/>
      <c r="I59" s="26"/>
      <c r="J59" s="172"/>
    </row>
    <row r="60" spans="2:10" ht="12.75">
      <c r="B60" s="170" t="s">
        <v>255</v>
      </c>
      <c r="C60" s="171"/>
      <c r="D60" s="26"/>
      <c r="E60" s="26"/>
      <c r="F60" s="26"/>
      <c r="G60" s="26"/>
      <c r="H60" s="26"/>
      <c r="I60" s="26"/>
      <c r="J60" s="172"/>
    </row>
    <row r="61" spans="2:10" ht="12.75">
      <c r="B61" s="170" t="s">
        <v>256</v>
      </c>
      <c r="C61" s="171"/>
      <c r="D61" s="26"/>
      <c r="E61" s="26"/>
      <c r="F61" s="26"/>
      <c r="G61" s="26"/>
      <c r="H61" s="26"/>
      <c r="I61" s="26"/>
      <c r="J61" s="172"/>
    </row>
    <row r="62" spans="2:10" ht="12.75">
      <c r="B62" s="170"/>
      <c r="C62" s="171"/>
      <c r="D62" s="26"/>
      <c r="E62" s="26"/>
      <c r="F62" s="26"/>
      <c r="G62" s="26"/>
      <c r="H62" s="26"/>
      <c r="I62" s="26"/>
      <c r="J62" s="172"/>
    </row>
    <row r="63" spans="2:10" ht="12.75">
      <c r="B63" s="170" t="s">
        <v>228</v>
      </c>
      <c r="C63" s="171"/>
      <c r="D63" s="26"/>
      <c r="E63" s="26"/>
      <c r="F63" s="26"/>
      <c r="G63" s="26"/>
      <c r="H63" s="26"/>
      <c r="I63" s="26"/>
      <c r="J63" s="172"/>
    </row>
    <row r="64" spans="2:10" ht="12.75">
      <c r="B64" s="170" t="s">
        <v>254</v>
      </c>
      <c r="C64" s="171"/>
      <c r="D64" s="26"/>
      <c r="E64" s="26"/>
      <c r="F64" s="26"/>
      <c r="G64" s="26"/>
      <c r="H64" s="26"/>
      <c r="I64" s="26"/>
      <c r="J64" s="172"/>
    </row>
    <row r="65" spans="2:10" ht="12.75">
      <c r="B65" s="170" t="s">
        <v>229</v>
      </c>
      <c r="C65" s="171"/>
      <c r="D65" s="26"/>
      <c r="E65" s="26"/>
      <c r="F65" s="26"/>
      <c r="G65" s="26"/>
      <c r="H65" s="26"/>
      <c r="I65" s="26"/>
      <c r="J65" s="172"/>
    </row>
    <row r="66" spans="2:10" ht="12.75">
      <c r="B66" s="170" t="s">
        <v>211</v>
      </c>
      <c r="C66" s="171"/>
      <c r="D66" s="26"/>
      <c r="E66" s="26"/>
      <c r="F66" s="26"/>
      <c r="G66" s="26"/>
      <c r="H66" s="26"/>
      <c r="I66" s="26"/>
      <c r="J66" s="172"/>
    </row>
    <row r="67" spans="2:10" ht="12.75">
      <c r="B67" s="170"/>
      <c r="C67" s="171"/>
      <c r="D67" s="26"/>
      <c r="E67" s="26"/>
      <c r="F67" s="26"/>
      <c r="G67" s="26"/>
      <c r="H67" s="26"/>
      <c r="I67" s="26"/>
      <c r="J67" s="172"/>
    </row>
    <row r="68" spans="2:10" ht="15">
      <c r="B68" s="173" t="s">
        <v>212</v>
      </c>
      <c r="C68" s="171"/>
      <c r="D68" s="26"/>
      <c r="E68" s="26"/>
      <c r="F68" s="26"/>
      <c r="G68" s="26"/>
      <c r="H68" s="26"/>
      <c r="I68" s="26"/>
      <c r="J68" s="172"/>
    </row>
    <row r="69" spans="2:10" ht="12.75">
      <c r="B69" s="170" t="s">
        <v>219</v>
      </c>
      <c r="C69" s="171"/>
      <c r="D69" s="26"/>
      <c r="E69" s="26"/>
      <c r="F69" s="26"/>
      <c r="G69" s="26"/>
      <c r="H69" s="26"/>
      <c r="I69" s="26"/>
      <c r="J69" s="172"/>
    </row>
    <row r="70" spans="2:10" ht="12.75">
      <c r="B70" s="174" t="s">
        <v>220</v>
      </c>
      <c r="C70" s="175"/>
      <c r="D70" s="176"/>
      <c r="E70" s="176"/>
      <c r="F70" s="176"/>
      <c r="G70" s="176"/>
      <c r="H70" s="176"/>
      <c r="I70" s="176"/>
      <c r="J70" s="177"/>
    </row>
    <row r="72" ht="12.75">
      <c r="B72" s="171"/>
    </row>
  </sheetData>
  <sheetProtection password="BBAF" sheet="1"/>
  <mergeCells count="3">
    <mergeCell ref="F4:G4"/>
    <mergeCell ref="B2:G2"/>
    <mergeCell ref="F3:G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31"/>
  <sheetViews>
    <sheetView zoomScale="125" zoomScaleNormal="125" zoomScalePageLayoutView="0" workbookViewId="0" topLeftCell="A1">
      <selection activeCell="C19" sqref="C19"/>
    </sheetView>
  </sheetViews>
  <sheetFormatPr defaultColWidth="11.421875" defaultRowHeight="12.75"/>
  <cols>
    <col min="1" max="1" width="1.57421875" style="6" customWidth="1"/>
    <col min="2" max="2" width="31.140625" style="6" customWidth="1"/>
    <col min="3" max="3" width="14.8515625" style="6" customWidth="1"/>
    <col min="4" max="4" width="23.8515625" style="6" customWidth="1"/>
    <col min="5" max="16384" width="11.421875" style="6" customWidth="1"/>
  </cols>
  <sheetData>
    <row r="1" spans="1:4" ht="12.75">
      <c r="A1" s="2"/>
      <c r="B1" s="241" t="s">
        <v>80</v>
      </c>
      <c r="C1" s="242"/>
      <c r="D1" s="242"/>
    </row>
    <row r="2" spans="1:4" ht="13.5" thickBot="1">
      <c r="A2" s="2"/>
      <c r="B2" s="243"/>
      <c r="C2" s="243"/>
      <c r="D2" s="243"/>
    </row>
    <row r="3" spans="1:4" ht="12.75">
      <c r="A3" s="2"/>
      <c r="B3" s="2"/>
      <c r="C3" s="2"/>
      <c r="D3" s="2"/>
    </row>
    <row r="4" spans="1:6" ht="13.5" thickBot="1">
      <c r="A4" s="2"/>
      <c r="B4" s="2"/>
      <c r="C4" s="2"/>
      <c r="D4" s="2"/>
      <c r="F4" s="26"/>
    </row>
    <row r="5" spans="1:6" ht="13.5" thickBot="1">
      <c r="A5" s="2"/>
      <c r="B5" s="222" t="s">
        <v>87</v>
      </c>
      <c r="C5" s="223">
        <v>200</v>
      </c>
      <c r="D5" s="224"/>
      <c r="F5" s="26"/>
    </row>
    <row r="6" spans="1:6" ht="13.5" thickBot="1">
      <c r="A6" s="2"/>
      <c r="B6" s="222" t="s">
        <v>88</v>
      </c>
      <c r="C6" s="223">
        <v>20</v>
      </c>
      <c r="D6" s="222" t="s">
        <v>315</v>
      </c>
      <c r="F6" s="26"/>
    </row>
    <row r="7" spans="1:6" ht="13.5" thickBot="1">
      <c r="A7" s="2"/>
      <c r="B7" s="222" t="s">
        <v>89</v>
      </c>
      <c r="C7" s="223">
        <v>100</v>
      </c>
      <c r="D7" s="225"/>
      <c r="F7" s="26"/>
    </row>
    <row r="8" spans="1:6" ht="13.5" thickBot="1">
      <c r="A8" s="2"/>
      <c r="B8" s="222" t="s">
        <v>265</v>
      </c>
      <c r="C8" s="223">
        <v>8</v>
      </c>
      <c r="D8" s="222" t="s">
        <v>315</v>
      </c>
      <c r="F8" s="26"/>
    </row>
    <row r="9" spans="1:6" ht="12.75">
      <c r="A9" s="2"/>
      <c r="B9" s="222"/>
      <c r="C9" s="226"/>
      <c r="D9" s="225"/>
      <c r="F9" s="26"/>
    </row>
    <row r="10" spans="1:6" ht="13.5" thickBot="1">
      <c r="A10" s="2"/>
      <c r="B10" s="227" t="s">
        <v>109</v>
      </c>
      <c r="C10" s="226"/>
      <c r="D10" s="225"/>
      <c r="F10" s="26"/>
    </row>
    <row r="11" spans="1:6" ht="13.5" thickBot="1">
      <c r="A11" s="2"/>
      <c r="B11" s="227" t="s">
        <v>92</v>
      </c>
      <c r="C11" s="228"/>
      <c r="D11" s="225"/>
      <c r="F11" s="26"/>
    </row>
    <row r="12" spans="1:6" ht="13.5" thickBot="1">
      <c r="A12" s="2"/>
      <c r="B12" s="222"/>
      <c r="C12" s="226"/>
      <c r="D12" s="225"/>
      <c r="F12" s="26"/>
    </row>
    <row r="13" spans="1:6" ht="13.5" thickBot="1">
      <c r="A13" s="2"/>
      <c r="B13" s="222" t="s">
        <v>267</v>
      </c>
      <c r="C13" s="229" t="s">
        <v>13</v>
      </c>
      <c r="D13" s="225"/>
      <c r="F13" s="26"/>
    </row>
    <row r="14" spans="1:4" ht="12.75">
      <c r="A14" s="2"/>
      <c r="B14" s="222"/>
      <c r="C14" s="226"/>
      <c r="D14" s="225"/>
    </row>
    <row r="15" spans="1:4" ht="13.5" thickBot="1">
      <c r="A15" s="2"/>
      <c r="B15" s="222" t="s">
        <v>90</v>
      </c>
      <c r="C15" s="226"/>
      <c r="D15" s="225"/>
    </row>
    <row r="16" spans="1:4" ht="13.5" thickBot="1">
      <c r="A16" s="2"/>
      <c r="B16" s="222" t="s">
        <v>91</v>
      </c>
      <c r="C16" s="229" t="s">
        <v>22</v>
      </c>
      <c r="D16" s="225"/>
    </row>
    <row r="17" spans="1:4" ht="13.5" thickBot="1">
      <c r="A17" s="2"/>
      <c r="B17" s="222"/>
      <c r="C17" s="226"/>
      <c r="D17" s="225"/>
    </row>
    <row r="18" spans="1:4" ht="13.5" thickBot="1">
      <c r="A18" s="2"/>
      <c r="B18" s="222" t="s">
        <v>105</v>
      </c>
      <c r="C18" s="229">
        <v>3</v>
      </c>
      <c r="D18" s="225"/>
    </row>
    <row r="19" spans="1:4" ht="12.75">
      <c r="A19" s="2"/>
      <c r="B19" s="222"/>
      <c r="C19" s="226"/>
      <c r="D19" s="225"/>
    </row>
    <row r="20" spans="1:4" ht="12.75">
      <c r="A20" s="2"/>
      <c r="B20" s="222" t="s">
        <v>266</v>
      </c>
      <c r="C20" s="226"/>
      <c r="D20" s="225"/>
    </row>
    <row r="21" spans="1:4" ht="13.5" thickBot="1">
      <c r="A21" s="2"/>
      <c r="B21" s="222" t="s">
        <v>253</v>
      </c>
      <c r="C21" s="226"/>
      <c r="D21" s="230"/>
    </row>
    <row r="22" spans="1:4" ht="13.5" thickBot="1">
      <c r="A22" s="2"/>
      <c r="B22" s="231" t="s">
        <v>245</v>
      </c>
      <c r="C22" s="232">
        <f>Erträge!E5</f>
        <v>37.26</v>
      </c>
      <c r="D22" s="230"/>
    </row>
    <row r="23" spans="1:4" ht="13.5" thickBot="1">
      <c r="A23" s="2"/>
      <c r="B23" s="231" t="s">
        <v>246</v>
      </c>
      <c r="C23" s="232">
        <f>C22*7.1</f>
        <v>264.546</v>
      </c>
      <c r="D23" s="230"/>
    </row>
    <row r="24" spans="1:4" ht="12.75">
      <c r="A24" s="2"/>
      <c r="B24" s="225"/>
      <c r="C24" s="225"/>
      <c r="D24" s="225"/>
    </row>
    <row r="25" spans="1:4" ht="13.5" thickBot="1">
      <c r="A25" s="2"/>
      <c r="B25" s="227" t="s">
        <v>122</v>
      </c>
      <c r="C25" s="226"/>
      <c r="D25" s="225"/>
    </row>
    <row r="26" spans="1:4" ht="13.5" thickBot="1">
      <c r="A26" s="2"/>
      <c r="B26" s="233" t="s">
        <v>245</v>
      </c>
      <c r="C26" s="234"/>
      <c r="D26" s="225"/>
    </row>
    <row r="27" spans="1:4" ht="13.5" thickBot="1">
      <c r="A27" s="2"/>
      <c r="B27" s="235" t="s">
        <v>246</v>
      </c>
      <c r="C27" s="236">
        <f>IF(C26&lt;&gt;"",C26*7.1,"")</f>
      </c>
      <c r="D27" s="225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</sheetData>
  <sheetProtection password="BBAF" sheet="1"/>
  <mergeCells count="1">
    <mergeCell ref="B1:D2"/>
  </mergeCells>
  <conditionalFormatting sqref="C5:C8">
    <cfRule type="expression" priority="1" dxfId="23" stopIfTrue="1">
      <formula>$C$11&lt;&gt;""</formula>
    </cfRule>
  </conditionalFormatting>
  <conditionalFormatting sqref="C22:C23">
    <cfRule type="expression" priority="3" dxfId="22" stopIfTrue="1">
      <formula>$C$26&lt;&gt;""</formula>
    </cfRule>
  </conditionalFormatting>
  <dataValidations count="3">
    <dataValidation type="list" allowBlank="1" showInputMessage="1" showErrorMessage="1" sqref="C18">
      <formula1>Alter_der_Triebe</formula1>
    </dataValidation>
    <dataValidation type="list" allowBlank="1" showInputMessage="1" showErrorMessage="1" sqref="C16">
      <formula1>Bodenqualität</formula1>
    </dataValidation>
    <dataValidation type="list" allowBlank="1" showInputMessage="1" showErrorMessage="1" sqref="C13">
      <formula1>Baumart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O112"/>
  <sheetViews>
    <sheetView zoomScale="105" zoomScaleNormal="105" zoomScalePageLayoutView="0" workbookViewId="0" topLeftCell="A1">
      <selection activeCell="C7" sqref="C7"/>
    </sheetView>
  </sheetViews>
  <sheetFormatPr defaultColWidth="11.421875" defaultRowHeight="12.75"/>
  <cols>
    <col min="1" max="1" width="1.7109375" style="57" customWidth="1"/>
    <col min="2" max="3" width="33.00390625" style="57" customWidth="1"/>
    <col min="4" max="4" width="2.421875" style="57" customWidth="1"/>
    <col min="5" max="5" width="7.7109375" style="57" customWidth="1"/>
    <col min="6" max="6" width="32.57421875" style="57" customWidth="1"/>
    <col min="7" max="14" width="11.421875" style="57" customWidth="1"/>
    <col min="15" max="177" width="11.421875" style="35" customWidth="1"/>
    <col min="178" max="16384" width="11.421875" style="57" customWidth="1"/>
  </cols>
  <sheetData>
    <row r="1" spans="1:15" ht="15" customHeight="1">
      <c r="A1" s="44"/>
      <c r="B1" s="247" t="s">
        <v>130</v>
      </c>
      <c r="C1" s="248"/>
      <c r="D1" s="82"/>
      <c r="E1" s="79"/>
      <c r="F1" s="250" t="s">
        <v>16</v>
      </c>
      <c r="G1" s="251"/>
      <c r="H1" s="80"/>
      <c r="I1" s="81"/>
      <c r="J1" s="81"/>
      <c r="K1" s="81"/>
      <c r="L1" s="81"/>
      <c r="M1" s="81"/>
      <c r="N1" s="81"/>
      <c r="O1" s="81"/>
    </row>
    <row r="2" spans="1:15" ht="13.5" thickBot="1">
      <c r="A2" s="44"/>
      <c r="B2" s="249"/>
      <c r="C2" s="249"/>
      <c r="D2" s="83"/>
      <c r="E2" s="84"/>
      <c r="F2" s="252"/>
      <c r="G2" s="252"/>
      <c r="H2" s="85"/>
      <c r="I2" s="85"/>
      <c r="J2" s="85"/>
      <c r="K2" s="81"/>
      <c r="L2" s="81"/>
      <c r="M2" s="81"/>
      <c r="N2" s="81"/>
      <c r="O2" s="81"/>
    </row>
    <row r="3" spans="1:14" ht="12" customHeight="1" thickBot="1">
      <c r="A3" s="44"/>
      <c r="B3" s="253" t="s">
        <v>168</v>
      </c>
      <c r="C3" s="254"/>
      <c r="D3" s="44"/>
      <c r="E3" s="33"/>
      <c r="F3" s="35"/>
      <c r="G3" s="35"/>
      <c r="H3" s="35"/>
      <c r="I3" s="35"/>
      <c r="J3" s="35"/>
      <c r="K3" s="35"/>
      <c r="L3" s="35"/>
      <c r="M3" s="35"/>
      <c r="N3" s="35"/>
    </row>
    <row r="4" spans="1:14" ht="12" customHeight="1" thickBot="1">
      <c r="A4" s="44"/>
      <c r="B4" s="255"/>
      <c r="C4" s="255"/>
      <c r="D4" s="44"/>
      <c r="E4" s="33"/>
      <c r="F4" s="37" t="s">
        <v>28</v>
      </c>
      <c r="G4" s="130">
        <f>IF((Ertragsschätzung!C11=""),LOOKUP(1,1/(Mähhacker=Wahl_der_Erntemaschine),Erntezeit_GAZ_1),LOOKUP(1,1/(Mähhacker=Wahl_der_Erntemaschine),Erntezeit_GAZ_2))</f>
        <v>2.25027027027027</v>
      </c>
      <c r="H4" s="35" t="s">
        <v>121</v>
      </c>
      <c r="I4" s="35"/>
      <c r="J4" s="35"/>
      <c r="K4" s="35"/>
      <c r="L4" s="35"/>
      <c r="M4" s="35"/>
      <c r="N4" s="35"/>
    </row>
    <row r="5" spans="1:14" ht="12" customHeight="1" thickBot="1">
      <c r="A5" s="44"/>
      <c r="B5" s="46"/>
      <c r="C5" s="47"/>
      <c r="D5" s="45"/>
      <c r="E5" s="33"/>
      <c r="F5" s="136" t="s">
        <v>170</v>
      </c>
      <c r="G5" s="130">
        <f>IF((C22&lt;&gt;""),Transport!K21,LOOKUP(1,1/(Transporteinheiten=Wahl_der_Transporteinheiten),Dauer_der_Transportfahrt))</f>
        <v>24.40886699507389</v>
      </c>
      <c r="H5" s="35"/>
      <c r="I5" s="94"/>
      <c r="J5" s="94"/>
      <c r="K5" s="94"/>
      <c r="L5" s="35"/>
      <c r="M5" s="35"/>
      <c r="N5" s="35"/>
    </row>
    <row r="6" spans="1:14" ht="12" customHeight="1" thickBot="1">
      <c r="A6" s="44"/>
      <c r="B6" s="50" t="s">
        <v>131</v>
      </c>
      <c r="C6" s="29">
        <v>300</v>
      </c>
      <c r="D6" s="45"/>
      <c r="E6" s="33"/>
      <c r="F6" s="135"/>
      <c r="G6" s="38"/>
      <c r="H6" s="197"/>
      <c r="I6" s="94"/>
      <c r="J6" s="94"/>
      <c r="K6" s="94"/>
      <c r="L6" s="35"/>
      <c r="M6" s="35"/>
      <c r="N6" s="35"/>
    </row>
    <row r="7" spans="1:14" ht="12" customHeight="1" thickBot="1">
      <c r="A7" s="44"/>
      <c r="B7" s="48"/>
      <c r="C7" s="48"/>
      <c r="D7" s="45"/>
      <c r="E7" s="33"/>
      <c r="F7" s="37" t="s">
        <v>103</v>
      </c>
      <c r="G7" s="36" t="s">
        <v>68</v>
      </c>
      <c r="H7" s="197"/>
      <c r="I7" s="94"/>
      <c r="J7" s="94"/>
      <c r="K7" s="94"/>
      <c r="L7" s="35"/>
      <c r="M7" s="35"/>
      <c r="N7" s="35"/>
    </row>
    <row r="8" spans="1:14" ht="12" customHeight="1" thickBot="1">
      <c r="A8" s="44"/>
      <c r="B8" s="69" t="s">
        <v>1</v>
      </c>
      <c r="C8" s="28" t="s">
        <v>27</v>
      </c>
      <c r="D8" s="45"/>
      <c r="E8" s="33"/>
      <c r="F8" s="37" t="s">
        <v>134</v>
      </c>
      <c r="G8" s="31">
        <f>C6</f>
        <v>300</v>
      </c>
      <c r="H8" s="201"/>
      <c r="I8" s="94"/>
      <c r="J8" s="94"/>
      <c r="K8" s="94"/>
      <c r="L8" s="35"/>
      <c r="M8" s="35"/>
      <c r="N8" s="35"/>
    </row>
    <row r="9" spans="1:14" ht="12" customHeight="1" thickBot="1">
      <c r="A9" s="44"/>
      <c r="B9" s="68"/>
      <c r="C9" s="49">
        <f>IF($C$34&gt;15,"Die Bäume sind zu dick für Hackgutlinien.",IF(OR(AND($C$34&gt;7,$C$8="Claas + HS2-Vorsatz"),AND($C$34&gt;4,$C$8="Ny Vraa-Anbauhacker")),"Die Bäume sind zu dick für diesen Maschinentyp.",""))</f>
      </c>
      <c r="D9" s="45"/>
      <c r="E9" s="33"/>
      <c r="F9" s="37" t="s">
        <v>102</v>
      </c>
      <c r="G9" s="31">
        <f>IF(C9&lt;&gt;"","Fehler",IF(C12&lt;&gt;"",C12*G4,LOOKUP(1,1/(Mähhacker=Wahl_der_Erntemaschine),Erntekosten_pro_Stunde)*G4))</f>
        <v>900.108108108108</v>
      </c>
      <c r="H9" s="197"/>
      <c r="I9" s="94"/>
      <c r="J9" s="94"/>
      <c r="K9" s="94"/>
      <c r="L9" s="35"/>
      <c r="M9" s="35"/>
      <c r="N9" s="35"/>
    </row>
    <row r="10" spans="1:14" ht="12" customHeight="1" thickBot="1">
      <c r="A10" s="44"/>
      <c r="B10" s="68"/>
      <c r="C10" s="49">
        <f>IF($C$34&gt;15,"Wechseln Sie zum Blatt 'Vollbaumlinien'.",IF(OR(AND($C$34&gt;7,$C$8="Claas + HS2-Vorsatz"),AND($C$34&gt;4,$C$8="Ny Vraa-Anbauhacker")),"Wählen Sie eine andere Maschine.",""))</f>
      </c>
      <c r="D10" s="45"/>
      <c r="E10" s="33"/>
      <c r="F10" s="37" t="s">
        <v>141</v>
      </c>
      <c r="G10" s="31">
        <f>IF(C28&lt;&gt;"",C28,IF(C22&lt;&gt;"",Transport!G30,LOOKUP(1,1/(Transporteinheiten=Wahl_der_Transporteinheiten),Kosten_der_Transporteinheiten)))</f>
        <v>360.04324324324324</v>
      </c>
      <c r="H10" s="35" t="s">
        <v>121</v>
      </c>
      <c r="I10" s="94"/>
      <c r="J10" s="94"/>
      <c r="K10" s="94"/>
      <c r="L10" s="35"/>
      <c r="M10" s="35"/>
      <c r="N10" s="35"/>
    </row>
    <row r="11" spans="1:14" ht="12" customHeight="1" thickBot="1">
      <c r="A11" s="44"/>
      <c r="B11" s="71" t="s">
        <v>110</v>
      </c>
      <c r="C11" s="48"/>
      <c r="D11" s="45"/>
      <c r="E11" s="33"/>
      <c r="F11" s="37" t="s">
        <v>133</v>
      </c>
      <c r="G11" s="31">
        <f>IF(C70&lt;&gt;"",C70,LOOKUP(1,1/(Transporteinheiten_2=Wahl_der_Transporteinheiten_2),Kosten_der_Transporteinheiten_2)+C56)</f>
        <v>0</v>
      </c>
      <c r="H11" s="35"/>
      <c r="I11" s="94"/>
      <c r="J11" s="94"/>
      <c r="K11" s="94"/>
      <c r="L11" s="35"/>
      <c r="M11" s="35"/>
      <c r="N11" s="35"/>
    </row>
    <row r="12" spans="1:14" ht="12" customHeight="1" thickBot="1">
      <c r="A12" s="44"/>
      <c r="B12" s="71" t="s">
        <v>113</v>
      </c>
      <c r="C12" s="194"/>
      <c r="D12" s="45"/>
      <c r="E12" s="33"/>
      <c r="F12" s="39"/>
      <c r="G12" s="40"/>
      <c r="H12" s="35"/>
      <c r="I12" s="94"/>
      <c r="J12" s="94"/>
      <c r="K12" s="94"/>
      <c r="L12" s="35"/>
      <c r="M12" s="35"/>
      <c r="N12" s="35"/>
    </row>
    <row r="13" spans="1:14" ht="12" customHeight="1" thickBot="1">
      <c r="A13" s="44"/>
      <c r="B13" s="68"/>
      <c r="C13" s="48"/>
      <c r="D13" s="45"/>
      <c r="E13" s="33"/>
      <c r="F13" s="37" t="s">
        <v>77</v>
      </c>
      <c r="G13" s="40"/>
      <c r="H13" s="35"/>
      <c r="I13" s="94"/>
      <c r="J13" s="94"/>
      <c r="K13" s="94"/>
      <c r="L13" s="35"/>
      <c r="M13" s="35"/>
      <c r="N13" s="35"/>
    </row>
    <row r="14" spans="1:14" ht="12" customHeight="1" thickBot="1">
      <c r="A14" s="44"/>
      <c r="B14" s="48"/>
      <c r="C14" s="48"/>
      <c r="D14" s="45"/>
      <c r="E14" s="33"/>
      <c r="F14" s="37" t="s">
        <v>76</v>
      </c>
      <c r="G14" s="32">
        <f>SUM(G8:G11)</f>
        <v>1560.1513513513512</v>
      </c>
      <c r="H14" s="41"/>
      <c r="I14" s="35"/>
      <c r="J14" s="35"/>
      <c r="K14" s="35"/>
      <c r="L14" s="35"/>
      <c r="M14" s="35"/>
      <c r="N14" s="35"/>
    </row>
    <row r="15" spans="1:14" ht="12" customHeight="1" thickBot="1">
      <c r="A15" s="44"/>
      <c r="B15" s="50" t="s">
        <v>69</v>
      </c>
      <c r="C15" s="28" t="s">
        <v>290</v>
      </c>
      <c r="D15" s="45"/>
      <c r="E15" s="33"/>
      <c r="F15" s="37" t="s">
        <v>106</v>
      </c>
      <c r="G15" s="30">
        <f>IF(OR(AND(C47,C49&lt;&gt;""),C49&lt;&gt;""),C49*C44,C47*C43)</f>
        <v>3353.3999999999996</v>
      </c>
      <c r="H15" s="41"/>
      <c r="I15" s="35"/>
      <c r="J15" s="35"/>
      <c r="K15" s="35"/>
      <c r="L15" s="35"/>
      <c r="M15" s="35"/>
      <c r="N15" s="35"/>
    </row>
    <row r="16" spans="1:14" ht="12" customHeight="1">
      <c r="A16" s="44"/>
      <c r="B16" s="48"/>
      <c r="C16" s="48"/>
      <c r="D16" s="45"/>
      <c r="E16" s="33"/>
      <c r="F16" s="37"/>
      <c r="G16" s="92"/>
      <c r="H16" s="41"/>
      <c r="I16" s="35"/>
      <c r="J16" s="35"/>
      <c r="K16" s="35"/>
      <c r="L16" s="35"/>
      <c r="M16" s="35"/>
      <c r="N16" s="35"/>
    </row>
    <row r="17" spans="1:14" ht="12" customHeight="1" thickBot="1">
      <c r="A17" s="44"/>
      <c r="B17" s="50" t="s">
        <v>119</v>
      </c>
      <c r="C17" s="48"/>
      <c r="D17" s="45"/>
      <c r="E17" s="33"/>
      <c r="F17" s="37" t="s">
        <v>107</v>
      </c>
      <c r="G17" s="40"/>
      <c r="H17" s="35"/>
      <c r="I17" s="35"/>
      <c r="J17" s="94"/>
      <c r="K17" s="94"/>
      <c r="L17" s="94"/>
      <c r="M17" s="121"/>
      <c r="N17" s="35"/>
    </row>
    <row r="18" spans="1:14" ht="12" customHeight="1" thickBot="1">
      <c r="A18" s="44"/>
      <c r="B18" s="50" t="s">
        <v>17</v>
      </c>
      <c r="C18" s="29">
        <v>1</v>
      </c>
      <c r="D18" s="45"/>
      <c r="E18" s="33"/>
      <c r="F18" s="37" t="s">
        <v>78</v>
      </c>
      <c r="G18" s="30">
        <f>G15-G14</f>
        <v>1793.2486486486484</v>
      </c>
      <c r="H18" s="35"/>
      <c r="I18" s="35"/>
      <c r="J18" s="94"/>
      <c r="K18" s="125" t="s">
        <v>127</v>
      </c>
      <c r="L18" s="125" t="s">
        <v>128</v>
      </c>
      <c r="M18" s="121"/>
      <c r="N18" s="35"/>
    </row>
    <row r="19" spans="1:14" ht="12" customHeight="1" thickBot="1">
      <c r="A19" s="44"/>
      <c r="B19" s="50" t="s">
        <v>18</v>
      </c>
      <c r="C19" s="29">
        <v>4</v>
      </c>
      <c r="D19" s="45"/>
      <c r="E19" s="33"/>
      <c r="F19" s="37"/>
      <c r="G19" s="42"/>
      <c r="H19" s="35"/>
      <c r="I19" s="35"/>
      <c r="J19" s="94" t="s">
        <v>128</v>
      </c>
      <c r="K19" s="221"/>
      <c r="L19" s="126">
        <f>G15</f>
        <v>3353.3999999999996</v>
      </c>
      <c r="M19" s="121"/>
      <c r="N19" s="35"/>
    </row>
    <row r="20" spans="1:14" ht="12" customHeight="1" thickBot="1">
      <c r="A20" s="44"/>
      <c r="B20" s="50"/>
      <c r="C20" s="48"/>
      <c r="D20" s="45"/>
      <c r="E20" s="33"/>
      <c r="F20" s="34"/>
      <c r="G20" s="43"/>
      <c r="H20" s="35"/>
      <c r="I20" s="35"/>
      <c r="J20" s="95" t="s">
        <v>162</v>
      </c>
      <c r="K20" s="126">
        <f>G8</f>
        <v>300</v>
      </c>
      <c r="L20" s="221"/>
      <c r="M20" s="121"/>
      <c r="N20" s="35"/>
    </row>
    <row r="21" spans="1:14" ht="12" customHeight="1" thickBot="1">
      <c r="A21" s="44"/>
      <c r="B21" s="71" t="s">
        <v>110</v>
      </c>
      <c r="C21" s="48"/>
      <c r="D21" s="45"/>
      <c r="E21" s="33"/>
      <c r="F21" s="37" t="s">
        <v>31</v>
      </c>
      <c r="G21" s="108">
        <f>G14/C43</f>
        <v>41.87201694448071</v>
      </c>
      <c r="H21" s="35"/>
      <c r="I21" s="35"/>
      <c r="J21" s="95" t="s">
        <v>154</v>
      </c>
      <c r="K21" s="126">
        <f>G9</f>
        <v>900.108108108108</v>
      </c>
      <c r="L21" s="125"/>
      <c r="M21" s="121"/>
      <c r="N21" s="35"/>
    </row>
    <row r="22" spans="1:14" ht="12" customHeight="1" thickBot="1">
      <c r="A22" s="44"/>
      <c r="B22" s="71" t="s">
        <v>123</v>
      </c>
      <c r="C22" s="194"/>
      <c r="D22" s="45"/>
      <c r="E22" s="33"/>
      <c r="F22" s="37" t="s">
        <v>36</v>
      </c>
      <c r="G22" s="109">
        <f>G21/7.1</f>
        <v>5.897467175278974</v>
      </c>
      <c r="H22" s="35"/>
      <c r="I22" s="35"/>
      <c r="J22" s="95" t="s">
        <v>165</v>
      </c>
      <c r="K22" s="126">
        <f>G10</f>
        <v>360.04324324324324</v>
      </c>
      <c r="L22" s="125"/>
      <c r="M22" s="121"/>
      <c r="N22" s="35"/>
    </row>
    <row r="23" spans="1:14" ht="12" customHeight="1" thickBot="1">
      <c r="A23" s="44"/>
      <c r="B23" s="69"/>
      <c r="C23" s="48"/>
      <c r="D23" s="45"/>
      <c r="E23" s="33"/>
      <c r="F23" s="37" t="s">
        <v>94</v>
      </c>
      <c r="G23" s="198">
        <f>G21/4.9</f>
        <v>8.545309580506267</v>
      </c>
      <c r="H23" s="35"/>
      <c r="I23" s="35"/>
      <c r="J23" s="95" t="s">
        <v>166</v>
      </c>
      <c r="K23" s="126">
        <f>G11</f>
        <v>0</v>
      </c>
      <c r="L23" s="125"/>
      <c r="M23" s="121"/>
      <c r="N23" s="35"/>
    </row>
    <row r="24" spans="1:14" ht="12" customHeight="1" thickBot="1">
      <c r="A24" s="44"/>
      <c r="B24" s="50" t="s">
        <v>12</v>
      </c>
      <c r="C24" s="53"/>
      <c r="D24" s="45"/>
      <c r="E24" s="33"/>
      <c r="F24" s="37" t="s">
        <v>30</v>
      </c>
      <c r="G24" s="108">
        <f>IF(Ertragsschätzung!C11="",G14/Ernte!D10,G14/Ertragsschätzung!C11)</f>
        <v>942.120381250816</v>
      </c>
      <c r="H24" s="35"/>
      <c r="I24" s="35"/>
      <c r="J24" s="94"/>
      <c r="K24" s="94"/>
      <c r="L24" s="94"/>
      <c r="M24" s="121"/>
      <c r="N24" s="35"/>
    </row>
    <row r="25" spans="1:14" ht="12" customHeight="1" thickBot="1">
      <c r="A25" s="44"/>
      <c r="B25" s="50" t="s">
        <v>111</v>
      </c>
      <c r="C25" s="54">
        <f>IF(AND(C18="",C19="",C22=""),"",IF(C22&lt;&gt;"",Transport!P21,LOOKUP(1,1/(Transporteinheiten=Wahl_der_Transporteinheiten),Anzahl_Transporteinheiten)))</f>
        <v>4</v>
      </c>
      <c r="D25" s="45"/>
      <c r="E25" s="33"/>
      <c r="F25" s="35"/>
      <c r="G25" s="35"/>
      <c r="H25" s="35"/>
      <c r="I25" s="35"/>
      <c r="J25" s="121"/>
      <c r="K25" s="121"/>
      <c r="L25" s="121"/>
      <c r="M25" s="121"/>
      <c r="N25" s="35"/>
    </row>
    <row r="26" spans="1:14" ht="12" customHeight="1">
      <c r="A26" s="44"/>
      <c r="B26" s="51"/>
      <c r="C26" s="55"/>
      <c r="D26" s="44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2" customHeight="1" thickBot="1">
      <c r="A27" s="44"/>
      <c r="B27" s="71" t="s">
        <v>110</v>
      </c>
      <c r="C27" s="49"/>
      <c r="D27" s="44"/>
      <c r="E27" s="35"/>
      <c r="F27" s="81"/>
      <c r="G27" s="35"/>
      <c r="H27" s="35"/>
      <c r="I27" s="35"/>
      <c r="J27" s="35"/>
      <c r="K27" s="35"/>
      <c r="L27" s="35"/>
      <c r="M27" s="35"/>
      <c r="N27" s="35"/>
    </row>
    <row r="28" spans="1:14" ht="12" customHeight="1" thickBot="1">
      <c r="A28" s="44"/>
      <c r="B28" s="71" t="s">
        <v>112</v>
      </c>
      <c r="C28" s="194"/>
      <c r="D28" s="44"/>
      <c r="E28" s="35"/>
      <c r="F28" s="81"/>
      <c r="G28" s="35"/>
      <c r="H28" s="35"/>
      <c r="I28" s="35"/>
      <c r="J28" s="35"/>
      <c r="K28" s="35"/>
      <c r="L28" s="35"/>
      <c r="M28" s="35"/>
      <c r="N28" s="35"/>
    </row>
    <row r="29" spans="1:14" ht="12" customHeight="1">
      <c r="A29" s="44"/>
      <c r="B29" s="75"/>
      <c r="C29" s="76"/>
      <c r="D29" s="74"/>
      <c r="E29" s="35"/>
      <c r="F29" s="81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44"/>
      <c r="B30" s="256" t="s">
        <v>144</v>
      </c>
      <c r="C30" s="245"/>
      <c r="D30" s="44"/>
      <c r="E30" s="35"/>
      <c r="F30" s="81"/>
      <c r="G30" s="35"/>
      <c r="H30" s="35"/>
      <c r="I30" s="35"/>
      <c r="J30" s="35"/>
      <c r="K30" s="35"/>
      <c r="L30" s="35"/>
      <c r="M30" s="35"/>
      <c r="N30" s="35"/>
    </row>
    <row r="31" spans="1:14" ht="12" customHeight="1">
      <c r="A31" s="44"/>
      <c r="B31" s="246"/>
      <c r="C31" s="246"/>
      <c r="D31" s="44"/>
      <c r="E31" s="35"/>
      <c r="F31" s="81"/>
      <c r="G31" s="35"/>
      <c r="H31" s="35"/>
      <c r="I31" s="35"/>
      <c r="J31" s="35"/>
      <c r="K31" s="35"/>
      <c r="L31" s="35"/>
      <c r="M31" s="35"/>
      <c r="N31" s="35"/>
    </row>
    <row r="32" spans="1:14" ht="12" customHeight="1">
      <c r="A32" s="44"/>
      <c r="B32" s="52"/>
      <c r="C32" s="56"/>
      <c r="D32" s="44"/>
      <c r="E32" s="35"/>
      <c r="F32" s="81"/>
      <c r="G32" s="35"/>
      <c r="H32" s="35"/>
      <c r="I32" s="35"/>
      <c r="J32" s="35"/>
      <c r="K32" s="35"/>
      <c r="L32" s="35"/>
      <c r="M32" s="35"/>
      <c r="N32" s="35"/>
    </row>
    <row r="33" spans="1:14" ht="12" customHeight="1" thickBot="1">
      <c r="A33" s="44"/>
      <c r="B33" s="58" t="s">
        <v>5</v>
      </c>
      <c r="C33" s="48"/>
      <c r="D33" s="44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2" customHeight="1" thickBot="1">
      <c r="A34" s="44"/>
      <c r="B34" s="50" t="s">
        <v>7</v>
      </c>
      <c r="C34" s="28">
        <v>13</v>
      </c>
      <c r="D34" s="44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2" customHeight="1">
      <c r="A35" s="44"/>
      <c r="B35" s="58"/>
      <c r="C35" s="48"/>
      <c r="D35" s="44"/>
      <c r="E35" s="35"/>
      <c r="F35" s="81"/>
      <c r="G35" s="35"/>
      <c r="H35" s="35"/>
      <c r="I35" s="35"/>
      <c r="J35" s="35"/>
      <c r="K35" s="35"/>
      <c r="L35" s="35"/>
      <c r="M35" s="35"/>
      <c r="N35" s="35"/>
    </row>
    <row r="36" spans="1:14" ht="12" customHeight="1" thickBot="1">
      <c r="A36" s="44"/>
      <c r="B36" s="58"/>
      <c r="C36" s="48"/>
      <c r="D36" s="44"/>
      <c r="E36" s="35"/>
      <c r="F36" s="81"/>
      <c r="G36" s="35"/>
      <c r="H36" s="35"/>
      <c r="I36" s="35"/>
      <c r="J36" s="35"/>
      <c r="K36" s="35"/>
      <c r="L36" s="35"/>
      <c r="M36" s="35"/>
      <c r="N36" s="35"/>
    </row>
    <row r="37" spans="1:14" ht="12" customHeight="1" thickBot="1">
      <c r="A37" s="44"/>
      <c r="B37" s="58" t="s">
        <v>42</v>
      </c>
      <c r="C37" s="29">
        <v>3</v>
      </c>
      <c r="D37" s="44"/>
      <c r="E37" s="35"/>
      <c r="F37" s="81"/>
      <c r="G37" s="35"/>
      <c r="H37" s="35"/>
      <c r="I37" s="35"/>
      <c r="J37" s="35"/>
      <c r="K37" s="35"/>
      <c r="L37" s="35"/>
      <c r="M37" s="35"/>
      <c r="N37" s="35"/>
    </row>
    <row r="38" spans="1:14" ht="12" customHeight="1">
      <c r="A38" s="44"/>
      <c r="B38" s="59"/>
      <c r="C38" s="60"/>
      <c r="D38" s="44"/>
      <c r="E38" s="35"/>
      <c r="F38" s="81"/>
      <c r="G38" s="35"/>
      <c r="H38" s="35"/>
      <c r="I38" s="35"/>
      <c r="J38" s="35"/>
      <c r="K38" s="35"/>
      <c r="L38" s="35"/>
      <c r="M38" s="35"/>
      <c r="N38" s="35"/>
    </row>
    <row r="39" spans="1:14" ht="12" customHeight="1" thickBot="1">
      <c r="A39" s="44"/>
      <c r="B39" s="58" t="s">
        <v>43</v>
      </c>
      <c r="C39" s="60"/>
      <c r="D39" s="44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2" customHeight="1" thickBot="1">
      <c r="A40" s="44"/>
      <c r="B40" s="59" t="s">
        <v>44</v>
      </c>
      <c r="C40" s="29"/>
      <c r="D40" s="44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2" customHeight="1">
      <c r="A41" s="44"/>
      <c r="B41" s="58"/>
      <c r="C41" s="48"/>
      <c r="D41" s="44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" customHeight="1" thickBot="1">
      <c r="A42" s="44"/>
      <c r="B42" s="58" t="s">
        <v>35</v>
      </c>
      <c r="C42" s="48"/>
      <c r="D42" s="4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" customHeight="1" thickBot="1">
      <c r="A43" s="44"/>
      <c r="B43" s="61" t="s">
        <v>115</v>
      </c>
      <c r="C43" s="54">
        <f>IF(Ertragsschätzung!C26&lt;&gt;"",Ertragsschätzung!C26,Ertragsschätzung!C22)</f>
        <v>37.26</v>
      </c>
      <c r="D43" s="44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 thickBot="1">
      <c r="A44" s="44"/>
      <c r="B44" s="61" t="s">
        <v>114</v>
      </c>
      <c r="C44" s="54">
        <f>IF(Ertragsschätzung!C27&lt;&gt;"",Ertragsschätzung!C27,Ertragsschätzung!C23)</f>
        <v>264.546</v>
      </c>
      <c r="D44" s="44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" customHeight="1">
      <c r="A45" s="44"/>
      <c r="B45" s="58"/>
      <c r="C45" s="48"/>
      <c r="D45" s="44"/>
      <c r="E45" s="35"/>
      <c r="F45" s="81"/>
      <c r="G45" s="35"/>
      <c r="H45" s="35"/>
      <c r="I45" s="35"/>
      <c r="J45" s="35"/>
      <c r="K45" s="35"/>
      <c r="L45" s="35"/>
      <c r="M45" s="35"/>
      <c r="N45" s="35"/>
    </row>
    <row r="46" spans="1:14" ht="12" customHeight="1" thickBot="1">
      <c r="A46" s="44"/>
      <c r="B46" s="58" t="s">
        <v>19</v>
      </c>
      <c r="C46" s="48"/>
      <c r="D46" s="62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" customHeight="1" thickBot="1">
      <c r="A47" s="44"/>
      <c r="B47" s="61" t="s">
        <v>117</v>
      </c>
      <c r="C47" s="29">
        <v>90</v>
      </c>
      <c r="D47" s="62"/>
      <c r="E47" s="121"/>
      <c r="G47" s="35"/>
      <c r="H47" s="35"/>
      <c r="I47" s="35"/>
      <c r="J47" s="35"/>
      <c r="K47" s="35"/>
      <c r="L47" s="35"/>
      <c r="M47" s="35"/>
      <c r="N47" s="35"/>
    </row>
    <row r="48" spans="1:14" ht="12" customHeight="1" thickBot="1">
      <c r="A48" s="44"/>
      <c r="B48" s="71" t="s">
        <v>240</v>
      </c>
      <c r="C48" s="44"/>
      <c r="D48" s="62"/>
      <c r="E48" s="121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" customHeight="1" thickBot="1">
      <c r="A49" s="44"/>
      <c r="B49" s="195" t="s">
        <v>116</v>
      </c>
      <c r="C49" s="67"/>
      <c r="D49" s="62"/>
      <c r="E49" s="121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" customHeight="1">
      <c r="A50" s="44"/>
      <c r="B50" s="58"/>
      <c r="C50" s="58"/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" customHeight="1">
      <c r="A51" s="44"/>
      <c r="B51" s="77"/>
      <c r="C51" s="73"/>
      <c r="D51" s="74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" customHeight="1">
      <c r="A52" s="44"/>
      <c r="B52" s="244" t="s">
        <v>294</v>
      </c>
      <c r="C52" s="245"/>
      <c r="D52" s="44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" customHeight="1">
      <c r="A53" s="44"/>
      <c r="B53" s="246"/>
      <c r="C53" s="246"/>
      <c r="D53" s="44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2" customHeight="1">
      <c r="A54" s="44"/>
      <c r="B54" s="134"/>
      <c r="C54" s="134"/>
      <c r="D54" s="44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" customHeight="1" thickBot="1">
      <c r="A55" s="44"/>
      <c r="B55" s="58" t="s">
        <v>247</v>
      </c>
      <c r="C55" s="48"/>
      <c r="D55" s="44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" customHeight="1" thickBot="1">
      <c r="A56" s="44"/>
      <c r="B56" s="58" t="s">
        <v>248</v>
      </c>
      <c r="C56" s="29"/>
      <c r="D56" s="44"/>
      <c r="E56" s="35"/>
      <c r="G56" s="35"/>
      <c r="H56" s="35"/>
      <c r="I56" s="35"/>
      <c r="J56" s="35"/>
      <c r="K56" s="35"/>
      <c r="L56" s="35"/>
      <c r="M56" s="35"/>
      <c r="N56" s="35"/>
    </row>
    <row r="57" spans="1:14" ht="12" customHeight="1">
      <c r="A57" s="44"/>
      <c r="B57" s="58"/>
      <c r="C57" s="48"/>
      <c r="D57" s="44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" customHeight="1" thickBot="1">
      <c r="A58" s="44"/>
      <c r="B58" s="58" t="s">
        <v>69</v>
      </c>
      <c r="C58" s="48"/>
      <c r="D58" s="44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" customHeight="1" thickBot="1">
      <c r="A59" s="44"/>
      <c r="B59" s="58" t="s">
        <v>32</v>
      </c>
      <c r="C59" s="28" t="s">
        <v>120</v>
      </c>
      <c r="D59" s="44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" customHeight="1">
      <c r="A60" s="82"/>
      <c r="B60" s="58"/>
      <c r="C60" s="48"/>
      <c r="D60" s="44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" customHeight="1" thickBot="1">
      <c r="A61" s="44"/>
      <c r="B61" s="58" t="s">
        <v>119</v>
      </c>
      <c r="C61" s="48"/>
      <c r="D61" s="44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" customHeight="1" thickBot="1">
      <c r="A62" s="44"/>
      <c r="B62" s="58" t="s">
        <v>17</v>
      </c>
      <c r="C62" s="29"/>
      <c r="D62" s="63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" customHeight="1" thickBot="1">
      <c r="A63" s="44"/>
      <c r="B63" s="58" t="s">
        <v>18</v>
      </c>
      <c r="C63" s="29"/>
      <c r="D63" s="63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" customHeight="1">
      <c r="A64" s="44"/>
      <c r="B64" s="58"/>
      <c r="C64" s="48"/>
      <c r="D64" s="44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2" customHeight="1" thickBot="1">
      <c r="A65" s="44"/>
      <c r="B65" s="58" t="s">
        <v>33</v>
      </c>
      <c r="C65" s="64"/>
      <c r="D65" s="44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" customHeight="1" thickBot="1">
      <c r="A66" s="44"/>
      <c r="B66" s="58" t="s">
        <v>34</v>
      </c>
      <c r="C66" s="54">
        <f>LOOKUP(1,1/(Transporteinheiten_2=Wahl_der_Transporteinheiten_2),Anzahl_Transportfahrten)</f>
        <v>0</v>
      </c>
      <c r="D66" s="44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2" customHeight="1">
      <c r="A67" s="44"/>
      <c r="B67" s="58"/>
      <c r="C67" s="48"/>
      <c r="D67" s="62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2" customHeight="1">
      <c r="A68" s="44"/>
      <c r="B68" s="71" t="s">
        <v>110</v>
      </c>
      <c r="C68" s="49"/>
      <c r="D68" s="62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2" customHeight="1" thickBot="1">
      <c r="A69" s="44"/>
      <c r="B69" s="72" t="s">
        <v>118</v>
      </c>
      <c r="C69" s="49"/>
      <c r="D69" s="63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2" customHeight="1" thickBot="1">
      <c r="A70" s="44"/>
      <c r="B70" s="72" t="s">
        <v>132</v>
      </c>
      <c r="C70" s="194"/>
      <c r="D70" s="44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2" customHeight="1">
      <c r="A71" s="44"/>
      <c r="B71" s="52"/>
      <c r="C71" s="47"/>
      <c r="D71" s="44"/>
      <c r="E71" s="96"/>
      <c r="F71" s="96"/>
      <c r="G71" s="35"/>
      <c r="H71" s="35"/>
      <c r="I71" s="35"/>
      <c r="J71" s="35"/>
      <c r="K71" s="35"/>
      <c r="L71" s="35"/>
      <c r="M71" s="35"/>
      <c r="N71" s="35"/>
    </row>
    <row r="72" spans="1:14" ht="12" customHeight="1">
      <c r="A72" s="44"/>
      <c r="B72" s="131"/>
      <c r="C72" s="132"/>
      <c r="D72" s="132"/>
      <c r="E72" s="96"/>
      <c r="F72" s="96"/>
      <c r="G72" s="35"/>
      <c r="H72" s="35"/>
      <c r="I72" s="35"/>
      <c r="J72" s="35"/>
      <c r="K72" s="35"/>
      <c r="L72" s="35"/>
      <c r="M72" s="35"/>
      <c r="N72" s="35"/>
    </row>
    <row r="73" spans="1:14" ht="12" customHeight="1">
      <c r="A73" s="44"/>
      <c r="B73" s="132"/>
      <c r="C73" s="133"/>
      <c r="D73" s="132"/>
      <c r="E73" s="96"/>
      <c r="F73" s="96"/>
      <c r="G73" s="35"/>
      <c r="H73" s="35"/>
      <c r="I73" s="35"/>
      <c r="J73" s="35"/>
      <c r="K73" s="35"/>
      <c r="L73" s="35"/>
      <c r="M73" s="35"/>
      <c r="N73" s="35"/>
    </row>
    <row r="74" spans="1:14" ht="12" customHeight="1">
      <c r="A74" s="35"/>
      <c r="B74" s="96"/>
      <c r="C74" s="96"/>
      <c r="D74" s="96"/>
      <c r="E74" s="96"/>
      <c r="F74" s="96"/>
      <c r="G74" s="35"/>
      <c r="H74" s="35"/>
      <c r="I74" s="35"/>
      <c r="J74" s="35"/>
      <c r="K74" s="35"/>
      <c r="L74" s="35"/>
      <c r="M74" s="35"/>
      <c r="N74" s="35"/>
    </row>
    <row r="75" spans="1:14" ht="12" customHeight="1">
      <c r="A75" s="35"/>
      <c r="B75" s="96"/>
      <c r="C75" s="218"/>
      <c r="D75" s="96"/>
      <c r="E75" s="96"/>
      <c r="F75" s="96"/>
      <c r="G75" s="35"/>
      <c r="H75" s="35"/>
      <c r="I75" s="35"/>
      <c r="J75" s="35"/>
      <c r="K75" s="35"/>
      <c r="L75" s="35"/>
      <c r="M75" s="35"/>
      <c r="N75" s="35"/>
    </row>
    <row r="76" spans="1:14" ht="12" customHeight="1">
      <c r="A76" s="35"/>
      <c r="B76" s="96"/>
      <c r="C76" s="96"/>
      <c r="D76" s="96"/>
      <c r="E76" s="96"/>
      <c r="F76" s="96"/>
      <c r="G76" s="35"/>
      <c r="H76" s="35"/>
      <c r="I76" s="35"/>
      <c r="J76" s="35"/>
      <c r="K76" s="35"/>
      <c r="L76" s="35"/>
      <c r="M76" s="35"/>
      <c r="N76" s="35"/>
    </row>
    <row r="77" spans="1:14" ht="12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2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2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2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2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1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  <row r="778" s="35" customFormat="1" ht="12.75"/>
    <row r="779" s="35" customFormat="1" ht="12.75"/>
    <row r="780" s="35" customFormat="1" ht="12.75"/>
    <row r="781" s="35" customFormat="1" ht="12.75"/>
    <row r="782" s="35" customFormat="1" ht="12.75"/>
    <row r="783" s="35" customFormat="1" ht="12.75"/>
    <row r="784" s="35" customFormat="1" ht="12.75"/>
    <row r="785" s="35" customFormat="1" ht="12.75"/>
    <row r="786" s="35" customFormat="1" ht="12.75"/>
    <row r="787" s="35" customFormat="1" ht="12.75"/>
    <row r="788" s="35" customFormat="1" ht="12.75"/>
    <row r="789" s="35" customFormat="1" ht="12.75"/>
    <row r="790" s="35" customFormat="1" ht="12.75"/>
    <row r="791" s="35" customFormat="1" ht="12.75"/>
    <row r="792" s="35" customFormat="1" ht="12.75"/>
    <row r="793" s="35" customFormat="1" ht="12.75"/>
    <row r="794" s="35" customFormat="1" ht="12.75"/>
    <row r="795" s="35" customFormat="1" ht="12.75"/>
    <row r="796" s="35" customFormat="1" ht="12.75"/>
    <row r="797" s="35" customFormat="1" ht="12.75"/>
    <row r="798" s="35" customFormat="1" ht="12.75"/>
    <row r="799" s="35" customFormat="1" ht="12.75"/>
    <row r="800" s="35" customFormat="1" ht="12.75"/>
    <row r="801" s="35" customFormat="1" ht="12.75"/>
    <row r="802" s="35" customFormat="1" ht="12.75"/>
    <row r="803" s="35" customFormat="1" ht="12.75"/>
    <row r="804" s="35" customFormat="1" ht="12.75"/>
    <row r="805" s="35" customFormat="1" ht="12.75"/>
    <row r="806" s="35" customFormat="1" ht="12.75"/>
    <row r="807" s="35" customFormat="1" ht="12.75"/>
    <row r="808" s="35" customFormat="1" ht="12.75"/>
    <row r="809" s="35" customFormat="1" ht="12.75"/>
    <row r="810" s="35" customFormat="1" ht="12.75"/>
    <row r="811" s="35" customFormat="1" ht="12.75"/>
    <row r="812" s="35" customFormat="1" ht="12.75"/>
    <row r="813" s="35" customFormat="1" ht="12.75"/>
    <row r="814" s="35" customFormat="1" ht="12.75"/>
    <row r="815" s="35" customFormat="1" ht="12.75"/>
    <row r="816" s="35" customFormat="1" ht="12.75"/>
    <row r="817" s="35" customFormat="1" ht="12.75"/>
    <row r="818" s="35" customFormat="1" ht="12.75"/>
    <row r="819" s="35" customFormat="1" ht="12.75"/>
    <row r="820" s="35" customFormat="1" ht="12.75"/>
    <row r="821" s="35" customFormat="1" ht="12.75"/>
    <row r="822" s="35" customFormat="1" ht="12.75"/>
    <row r="823" s="35" customFormat="1" ht="12.75"/>
    <row r="824" s="35" customFormat="1" ht="12.75"/>
    <row r="825" s="35" customFormat="1" ht="12.75"/>
    <row r="826" s="35" customFormat="1" ht="12.75"/>
    <row r="827" s="35" customFormat="1" ht="12.75"/>
    <row r="828" s="35" customFormat="1" ht="12.75"/>
    <row r="829" s="35" customFormat="1" ht="12.75"/>
    <row r="830" s="35" customFormat="1" ht="12.75"/>
    <row r="831" s="35" customFormat="1" ht="12.75"/>
    <row r="832" s="35" customFormat="1" ht="12.75"/>
    <row r="833" s="35" customFormat="1" ht="12.75"/>
    <row r="834" s="35" customFormat="1" ht="12.75"/>
    <row r="835" s="35" customFormat="1" ht="12.75"/>
    <row r="836" s="35" customFormat="1" ht="12.75"/>
    <row r="837" s="35" customFormat="1" ht="12.75"/>
    <row r="838" s="35" customFormat="1" ht="12.75"/>
    <row r="839" s="35" customFormat="1" ht="12.75"/>
    <row r="840" s="35" customFormat="1" ht="12.75"/>
    <row r="841" s="35" customFormat="1" ht="12.75"/>
    <row r="842" s="35" customFormat="1" ht="12.75"/>
    <row r="843" s="35" customFormat="1" ht="12.75"/>
    <row r="844" s="35" customFormat="1" ht="12.75"/>
    <row r="845" s="35" customFormat="1" ht="12.75"/>
    <row r="846" s="35" customFormat="1" ht="12.75"/>
    <row r="847" s="35" customFormat="1" ht="12.75"/>
    <row r="848" s="35" customFormat="1" ht="12.75"/>
    <row r="849" s="35" customFormat="1" ht="12.75"/>
    <row r="850" s="35" customFormat="1" ht="12.75"/>
    <row r="851" s="35" customFormat="1" ht="12.75"/>
    <row r="852" s="35" customFormat="1" ht="12.75"/>
    <row r="853" s="35" customFormat="1" ht="12.75"/>
    <row r="854" s="35" customFormat="1" ht="12.75"/>
    <row r="855" s="35" customFormat="1" ht="12.75"/>
    <row r="856" s="35" customFormat="1" ht="12.75"/>
    <row r="857" s="35" customFormat="1" ht="12.75"/>
    <row r="858" s="35" customFormat="1" ht="12.75"/>
    <row r="859" s="35" customFormat="1" ht="12.75"/>
    <row r="860" s="35" customFormat="1" ht="12.75"/>
    <row r="861" s="35" customFormat="1" ht="12.75"/>
    <row r="862" s="35" customFormat="1" ht="12.75"/>
    <row r="863" s="35" customFormat="1" ht="12.75"/>
    <row r="864" s="35" customFormat="1" ht="12.75"/>
    <row r="865" s="35" customFormat="1" ht="12.75"/>
    <row r="866" s="35" customFormat="1" ht="12.75"/>
    <row r="867" s="35" customFormat="1" ht="12.75"/>
    <row r="868" s="35" customFormat="1" ht="12.75"/>
    <row r="869" s="35" customFormat="1" ht="12.75"/>
    <row r="870" s="35" customFormat="1" ht="12.75"/>
    <row r="871" s="35" customFormat="1" ht="12.75"/>
    <row r="872" s="35" customFormat="1" ht="12.75"/>
    <row r="873" s="35" customFormat="1" ht="12.75"/>
    <row r="874" s="35" customFormat="1" ht="12.75"/>
    <row r="875" s="35" customFormat="1" ht="12.75"/>
    <row r="876" s="35" customFormat="1" ht="12.75"/>
    <row r="877" s="35" customFormat="1" ht="12.75"/>
    <row r="878" s="35" customFormat="1" ht="12.75"/>
    <row r="879" s="35" customFormat="1" ht="12.75"/>
    <row r="880" s="35" customFormat="1" ht="12.75"/>
    <row r="881" s="35" customFormat="1" ht="12.75"/>
    <row r="882" s="35" customFormat="1" ht="12.75"/>
    <row r="883" s="35" customFormat="1" ht="12.75"/>
    <row r="884" s="35" customFormat="1" ht="12.75"/>
    <row r="885" s="35" customFormat="1" ht="12.75"/>
    <row r="886" s="35" customFormat="1" ht="12.75"/>
    <row r="887" s="35" customFormat="1" ht="12.75"/>
    <row r="888" s="35" customFormat="1" ht="12.75"/>
    <row r="889" s="35" customFormat="1" ht="12.75"/>
    <row r="890" s="35" customFormat="1" ht="12.75"/>
    <row r="891" s="35" customFormat="1" ht="12.75"/>
    <row r="892" s="35" customFormat="1" ht="12.75"/>
    <row r="893" s="35" customFormat="1" ht="12.75"/>
    <row r="894" s="35" customFormat="1" ht="12.75"/>
    <row r="895" s="35" customFormat="1" ht="12.75"/>
    <row r="896" s="35" customFormat="1" ht="12.75"/>
    <row r="897" s="35" customFormat="1" ht="12.75"/>
    <row r="898" s="35" customFormat="1" ht="12.75"/>
    <row r="899" s="35" customFormat="1" ht="12.75"/>
    <row r="900" s="35" customFormat="1" ht="12.75"/>
    <row r="901" s="35" customFormat="1" ht="12.75"/>
    <row r="902" s="35" customFormat="1" ht="12.75"/>
    <row r="903" s="35" customFormat="1" ht="12.75"/>
    <row r="904" s="35" customFormat="1" ht="12.75"/>
    <row r="905" s="35" customFormat="1" ht="12.75"/>
    <row r="906" s="35" customFormat="1" ht="12.75"/>
    <row r="907" s="35" customFormat="1" ht="12.75"/>
    <row r="908" s="35" customFormat="1" ht="12.75"/>
    <row r="909" s="35" customFormat="1" ht="12.75"/>
    <row r="910" s="35" customFormat="1" ht="12.75"/>
    <row r="911" s="35" customFormat="1" ht="12.75"/>
    <row r="912" s="35" customFormat="1" ht="12.75"/>
    <row r="913" s="35" customFormat="1" ht="12.75"/>
    <row r="914" s="35" customFormat="1" ht="12.75"/>
    <row r="915" s="35" customFormat="1" ht="12.75"/>
    <row r="916" s="35" customFormat="1" ht="12.75"/>
    <row r="917" s="35" customFormat="1" ht="12.75"/>
    <row r="918" s="35" customFormat="1" ht="12.75"/>
    <row r="919" s="35" customFormat="1" ht="12.75"/>
    <row r="920" s="35" customFormat="1" ht="12.75"/>
    <row r="921" s="35" customFormat="1" ht="12.75"/>
    <row r="922" s="35" customFormat="1" ht="12.75"/>
    <row r="923" s="35" customFormat="1" ht="12.75"/>
    <row r="924" s="35" customFormat="1" ht="12.75"/>
    <row r="925" s="35" customFormat="1" ht="12.75"/>
    <row r="926" s="35" customFormat="1" ht="12.75"/>
    <row r="927" s="35" customFormat="1" ht="12.75"/>
    <row r="928" s="35" customFormat="1" ht="12.75"/>
    <row r="929" s="35" customFormat="1" ht="12.75"/>
    <row r="930" s="35" customFormat="1" ht="12.75"/>
    <row r="931" s="35" customFormat="1" ht="12.75"/>
    <row r="932" s="35" customFormat="1" ht="12.75"/>
    <row r="933" s="35" customFormat="1" ht="12.75"/>
    <row r="934" s="35" customFormat="1" ht="12.75"/>
    <row r="935" s="35" customFormat="1" ht="12.75"/>
    <row r="936" s="35" customFormat="1" ht="12.75"/>
    <row r="937" s="35" customFormat="1" ht="12.75"/>
    <row r="938" s="35" customFormat="1" ht="12.75"/>
    <row r="939" s="35" customFormat="1" ht="12.75"/>
    <row r="940" s="35" customFormat="1" ht="12.75"/>
    <row r="941" s="35" customFormat="1" ht="12.75"/>
    <row r="942" s="35" customFormat="1" ht="12.75"/>
    <row r="943" s="35" customFormat="1" ht="12.75"/>
    <row r="944" s="35" customFormat="1" ht="12.75"/>
    <row r="945" s="35" customFormat="1" ht="12.75"/>
    <row r="946" s="35" customFormat="1" ht="12.75"/>
    <row r="947" s="35" customFormat="1" ht="12.75"/>
    <row r="948" s="35" customFormat="1" ht="12.75"/>
    <row r="949" s="35" customFormat="1" ht="12.75"/>
    <row r="950" s="35" customFormat="1" ht="12.75"/>
    <row r="951" s="35" customFormat="1" ht="12.75"/>
    <row r="952" s="35" customFormat="1" ht="12.75"/>
    <row r="953" s="35" customFormat="1" ht="12.75"/>
    <row r="954" s="35" customFormat="1" ht="12.75"/>
    <row r="955" s="35" customFormat="1" ht="12.75"/>
    <row r="956" s="35" customFormat="1" ht="12.75"/>
    <row r="957" s="35" customFormat="1" ht="12.75"/>
    <row r="958" s="35" customFormat="1" ht="12.75"/>
    <row r="959" s="35" customFormat="1" ht="12.75"/>
    <row r="960" s="35" customFormat="1" ht="12.75"/>
    <row r="961" s="35" customFormat="1" ht="12.75"/>
    <row r="962" s="35" customFormat="1" ht="12.75"/>
    <row r="963" s="35" customFormat="1" ht="12.75"/>
    <row r="964" s="35" customFormat="1" ht="12.75"/>
    <row r="965" s="35" customFormat="1" ht="12.75"/>
    <row r="966" s="35" customFormat="1" ht="12.75"/>
    <row r="967" s="35" customFormat="1" ht="12.75"/>
    <row r="968" s="35" customFormat="1" ht="12.75"/>
    <row r="969" s="35" customFormat="1" ht="12.75"/>
    <row r="970" s="35" customFormat="1" ht="12.75"/>
    <row r="971" s="35" customFormat="1" ht="12.75"/>
    <row r="972" s="35" customFormat="1" ht="12.75"/>
    <row r="973" s="35" customFormat="1" ht="12.75"/>
    <row r="974" s="35" customFormat="1" ht="12.75"/>
    <row r="975" s="35" customFormat="1" ht="12.75"/>
    <row r="976" s="35" customFormat="1" ht="12.75"/>
    <row r="977" s="35" customFormat="1" ht="12.75"/>
    <row r="978" s="35" customFormat="1" ht="12.75"/>
    <row r="979" s="35" customFormat="1" ht="12.75"/>
    <row r="980" s="35" customFormat="1" ht="12.75"/>
    <row r="981" s="35" customFormat="1" ht="12.75"/>
    <row r="982" s="35" customFormat="1" ht="12.75"/>
    <row r="983" s="35" customFormat="1" ht="12.75"/>
    <row r="984" s="35" customFormat="1" ht="12.75"/>
    <row r="985" s="35" customFormat="1" ht="12.75"/>
    <row r="986" s="35" customFormat="1" ht="12.75"/>
    <row r="987" s="35" customFormat="1" ht="12.75"/>
    <row r="988" s="35" customFormat="1" ht="12.75"/>
    <row r="989" s="35" customFormat="1" ht="12.75"/>
    <row r="990" s="35" customFormat="1" ht="12.75"/>
    <row r="991" s="35" customFormat="1" ht="12.75"/>
    <row r="992" s="35" customFormat="1" ht="12.75"/>
    <row r="993" s="35" customFormat="1" ht="12.75"/>
    <row r="994" s="35" customFormat="1" ht="12.75"/>
    <row r="995" s="35" customFormat="1" ht="12.75"/>
    <row r="996" s="35" customFormat="1" ht="12.75"/>
    <row r="997" s="35" customFormat="1" ht="12.75"/>
    <row r="998" s="35" customFormat="1" ht="12.75"/>
    <row r="999" s="35" customFormat="1" ht="12.75"/>
    <row r="1000" s="35" customFormat="1" ht="12.75"/>
    <row r="1001" s="35" customFormat="1" ht="12.75"/>
    <row r="1002" s="35" customFormat="1" ht="12.75"/>
    <row r="1003" s="35" customFormat="1" ht="12.75"/>
    <row r="1004" s="35" customFormat="1" ht="12.75"/>
    <row r="1005" s="35" customFormat="1" ht="12.75"/>
    <row r="1006" s="35" customFormat="1" ht="12.75"/>
    <row r="1007" s="35" customFormat="1" ht="12.75"/>
    <row r="1008" s="35" customFormat="1" ht="12.75"/>
    <row r="1009" s="35" customFormat="1" ht="12.75"/>
    <row r="1010" s="35" customFormat="1" ht="12.75"/>
    <row r="1011" s="35" customFormat="1" ht="12.75"/>
    <row r="1012" s="35" customFormat="1" ht="12.75"/>
    <row r="1013" s="35" customFormat="1" ht="12.75"/>
    <row r="1014" s="35" customFormat="1" ht="12.75"/>
    <row r="1015" s="35" customFormat="1" ht="12.75"/>
    <row r="1016" s="35" customFormat="1" ht="12.75"/>
    <row r="1017" s="35" customFormat="1" ht="12.75"/>
    <row r="1018" s="35" customFormat="1" ht="12.75"/>
    <row r="1019" s="35" customFormat="1" ht="12.75"/>
    <row r="1020" s="35" customFormat="1" ht="12.75"/>
    <row r="1021" s="35" customFormat="1" ht="12.75"/>
    <row r="1022" s="35" customFormat="1" ht="12.75"/>
    <row r="1023" s="35" customFormat="1" ht="12.75"/>
    <row r="1024" s="35" customFormat="1" ht="12.75"/>
    <row r="1025" s="35" customFormat="1" ht="12.75"/>
    <row r="1026" s="35" customFormat="1" ht="12.75"/>
    <row r="1027" s="35" customFormat="1" ht="12.75"/>
    <row r="1028" s="35" customFormat="1" ht="12.75"/>
    <row r="1029" s="35" customFormat="1" ht="12.75"/>
    <row r="1030" s="35" customFormat="1" ht="12.75"/>
    <row r="1031" s="35" customFormat="1" ht="12.75"/>
    <row r="1032" s="35" customFormat="1" ht="12.75"/>
    <row r="1033" s="35" customFormat="1" ht="12.75"/>
    <row r="1034" s="35" customFormat="1" ht="12.75"/>
    <row r="1035" s="35" customFormat="1" ht="12.75"/>
    <row r="1036" s="35" customFormat="1" ht="12.75"/>
    <row r="1037" s="35" customFormat="1" ht="12.75"/>
    <row r="1038" s="35" customFormat="1" ht="12.75"/>
    <row r="1039" s="35" customFormat="1" ht="12.75"/>
    <row r="1040" s="35" customFormat="1" ht="12.75"/>
    <row r="1041" s="35" customFormat="1" ht="12.75"/>
    <row r="1042" s="35" customFormat="1" ht="12.75"/>
    <row r="1043" s="35" customFormat="1" ht="12.75"/>
    <row r="1044" s="35" customFormat="1" ht="12.75"/>
    <row r="1045" s="35" customFormat="1" ht="12.75"/>
    <row r="1046" s="35" customFormat="1" ht="12.75"/>
    <row r="1047" s="35" customFormat="1" ht="12.75"/>
    <row r="1048" s="35" customFormat="1" ht="12.75"/>
    <row r="1049" s="35" customFormat="1" ht="12.75"/>
    <row r="1050" s="35" customFormat="1" ht="12.75"/>
    <row r="1051" s="35" customFormat="1" ht="12.75"/>
    <row r="1052" s="35" customFormat="1" ht="12.75"/>
    <row r="1053" s="35" customFormat="1" ht="12.75"/>
    <row r="1054" s="35" customFormat="1" ht="12.75"/>
    <row r="1055" s="35" customFormat="1" ht="12.75"/>
    <row r="1056" s="35" customFormat="1" ht="12.75"/>
    <row r="1057" s="35" customFormat="1" ht="12.75"/>
    <row r="1058" s="35" customFormat="1" ht="12.75"/>
    <row r="1059" s="35" customFormat="1" ht="12.75"/>
    <row r="1060" s="35" customFormat="1" ht="12.75"/>
    <row r="1061" s="35" customFormat="1" ht="12.75"/>
    <row r="1062" s="35" customFormat="1" ht="12.75"/>
    <row r="1063" s="35" customFormat="1" ht="12.75"/>
    <row r="1064" s="35" customFormat="1" ht="12.75"/>
    <row r="1065" s="35" customFormat="1" ht="12.75"/>
    <row r="1066" s="35" customFormat="1" ht="12.75"/>
    <row r="1067" s="35" customFormat="1" ht="12.75"/>
    <row r="1068" s="35" customFormat="1" ht="12.75"/>
    <row r="1069" s="35" customFormat="1" ht="12.75"/>
    <row r="1070" s="35" customFormat="1" ht="12.75"/>
    <row r="1071" s="35" customFormat="1" ht="12.75"/>
    <row r="1072" s="35" customFormat="1" ht="12.75"/>
    <row r="1073" s="35" customFormat="1" ht="12.75"/>
    <row r="1074" s="35" customFormat="1" ht="12.75"/>
    <row r="1075" s="35" customFormat="1" ht="12.75"/>
    <row r="1076" s="35" customFormat="1" ht="12.75"/>
    <row r="1077" s="35" customFormat="1" ht="12.75"/>
    <row r="1078" s="35" customFormat="1" ht="12.75"/>
    <row r="1079" s="35" customFormat="1" ht="12.75"/>
    <row r="1080" s="35" customFormat="1" ht="12.75"/>
    <row r="1081" s="35" customFormat="1" ht="12.75"/>
    <row r="1082" s="35" customFormat="1" ht="12.75"/>
    <row r="1083" s="35" customFormat="1" ht="12.75"/>
    <row r="1084" s="35" customFormat="1" ht="12.75"/>
    <row r="1085" s="35" customFormat="1" ht="12.75"/>
    <row r="1086" s="35" customFormat="1" ht="12.75"/>
    <row r="1087" s="35" customFormat="1" ht="12.75"/>
    <row r="1088" s="35" customFormat="1" ht="12.75"/>
    <row r="1089" s="35" customFormat="1" ht="12.75"/>
    <row r="1090" s="35" customFormat="1" ht="12.75"/>
    <row r="1091" s="35" customFormat="1" ht="12.75"/>
    <row r="1092" s="35" customFormat="1" ht="12.75"/>
    <row r="1093" s="35" customFormat="1" ht="12.75"/>
    <row r="1094" s="35" customFormat="1" ht="12.75"/>
    <row r="1095" s="35" customFormat="1" ht="12.75"/>
    <row r="1096" s="35" customFormat="1" ht="12.75"/>
    <row r="1097" s="35" customFormat="1" ht="12.75"/>
    <row r="1098" s="35" customFormat="1" ht="12.75"/>
    <row r="1099" s="35" customFormat="1" ht="12.75"/>
    <row r="1100" s="35" customFormat="1" ht="12.75"/>
    <row r="1101" s="35" customFormat="1" ht="12.75"/>
    <row r="1102" s="35" customFormat="1" ht="12.75"/>
    <row r="1103" s="35" customFormat="1" ht="12.75"/>
    <row r="1104" s="35" customFormat="1" ht="12.75"/>
    <row r="1105" s="35" customFormat="1" ht="12.75"/>
    <row r="1106" s="35" customFormat="1" ht="12.75"/>
    <row r="1107" s="35" customFormat="1" ht="12.75"/>
    <row r="1108" s="35" customFormat="1" ht="12.75"/>
    <row r="1109" s="35" customFormat="1" ht="12.75"/>
    <row r="1110" s="35" customFormat="1" ht="12.75"/>
    <row r="1111" s="35" customFormat="1" ht="12.75"/>
    <row r="1112" s="35" customFormat="1" ht="12.75"/>
    <row r="1113" s="35" customFormat="1" ht="12.75"/>
    <row r="1114" s="35" customFormat="1" ht="12.75"/>
    <row r="1115" s="35" customFormat="1" ht="12.75"/>
    <row r="1116" s="35" customFormat="1" ht="12.75"/>
    <row r="1117" s="35" customFormat="1" ht="12.75"/>
    <row r="1118" s="35" customFormat="1" ht="12.75"/>
    <row r="1119" s="35" customFormat="1" ht="12.75"/>
    <row r="1120" s="35" customFormat="1" ht="12.75"/>
    <row r="1121" s="35" customFormat="1" ht="12.75"/>
    <row r="1122" s="35" customFormat="1" ht="12.75"/>
    <row r="1123" s="35" customFormat="1" ht="12.75"/>
    <row r="1124" s="35" customFormat="1" ht="12.75"/>
    <row r="1125" s="35" customFormat="1" ht="12.75"/>
    <row r="1126" s="35" customFormat="1" ht="12.75"/>
    <row r="1127" s="35" customFormat="1" ht="12.75"/>
    <row r="1128" s="35" customFormat="1" ht="12.75"/>
    <row r="1129" s="35" customFormat="1" ht="12.75"/>
    <row r="1130" s="35" customFormat="1" ht="12.75"/>
    <row r="1131" s="35" customFormat="1" ht="12.75"/>
    <row r="1132" s="35" customFormat="1" ht="12.75"/>
    <row r="1133" s="35" customFormat="1" ht="12.75"/>
    <row r="1134" s="35" customFormat="1" ht="12.75"/>
    <row r="1135" s="35" customFormat="1" ht="12.75"/>
    <row r="1136" s="35" customFormat="1" ht="12.75"/>
    <row r="1137" s="35" customFormat="1" ht="12.75"/>
    <row r="1138" s="35" customFormat="1" ht="12.75"/>
    <row r="1139" s="35" customFormat="1" ht="12.75"/>
    <row r="1140" s="35" customFormat="1" ht="12.75"/>
    <row r="1141" s="35" customFormat="1" ht="12.75"/>
    <row r="1142" s="35" customFormat="1" ht="12.75"/>
    <row r="1143" s="35" customFormat="1" ht="12.75"/>
    <row r="1144" s="35" customFormat="1" ht="12.75"/>
    <row r="1145" s="35" customFormat="1" ht="12.75"/>
    <row r="1146" s="35" customFormat="1" ht="12.75"/>
    <row r="1147" s="35" customFormat="1" ht="12.75"/>
    <row r="1148" s="35" customFormat="1" ht="12.75"/>
    <row r="1149" s="35" customFormat="1" ht="12.75"/>
    <row r="1150" s="35" customFormat="1" ht="12.75"/>
    <row r="1151" s="35" customFormat="1" ht="12.75"/>
    <row r="1152" s="35" customFormat="1" ht="12.75"/>
    <row r="1153" s="35" customFormat="1" ht="12.75"/>
    <row r="1154" s="35" customFormat="1" ht="12.75"/>
    <row r="1155" s="35" customFormat="1" ht="12.75"/>
    <row r="1156" s="35" customFormat="1" ht="12.75"/>
    <row r="1157" s="35" customFormat="1" ht="12.75"/>
    <row r="1158" s="35" customFormat="1" ht="12.75"/>
    <row r="1159" s="35" customFormat="1" ht="12.75"/>
    <row r="1160" s="35" customFormat="1" ht="12.75"/>
    <row r="1161" s="35" customFormat="1" ht="12.75"/>
    <row r="1162" s="35" customFormat="1" ht="12.75"/>
    <row r="1163" s="35" customFormat="1" ht="12.75"/>
    <row r="1164" s="35" customFormat="1" ht="12.75"/>
    <row r="1165" s="35" customFormat="1" ht="12.75"/>
    <row r="1166" s="35" customFormat="1" ht="12.75"/>
    <row r="1167" s="35" customFormat="1" ht="12.75"/>
    <row r="1168" s="35" customFormat="1" ht="12.75"/>
    <row r="1169" s="35" customFormat="1" ht="12.75"/>
    <row r="1170" s="35" customFormat="1" ht="12.75"/>
    <row r="1171" s="35" customFormat="1" ht="12.75"/>
    <row r="1172" s="35" customFormat="1" ht="12.75"/>
    <row r="1173" s="35" customFormat="1" ht="12.75"/>
    <row r="1174" s="35" customFormat="1" ht="12.75"/>
    <row r="1175" s="35" customFormat="1" ht="12.75"/>
    <row r="1176" s="35" customFormat="1" ht="12.75"/>
    <row r="1177" s="35" customFormat="1" ht="12.75"/>
    <row r="1178" s="35" customFormat="1" ht="12.75"/>
    <row r="1179" s="35" customFormat="1" ht="12.75"/>
    <row r="1180" s="35" customFormat="1" ht="12.75"/>
    <row r="1181" s="35" customFormat="1" ht="12.75"/>
    <row r="1182" s="35" customFormat="1" ht="12.75"/>
    <row r="1183" s="35" customFormat="1" ht="12.75"/>
    <row r="1184" s="35" customFormat="1" ht="12.75"/>
    <row r="1185" s="35" customFormat="1" ht="12.75"/>
    <row r="1186" s="35" customFormat="1" ht="12.75"/>
    <row r="1187" s="35" customFormat="1" ht="12.75"/>
    <row r="1188" s="35" customFormat="1" ht="12.75"/>
    <row r="1189" s="35" customFormat="1" ht="12.75"/>
    <row r="1190" s="35" customFormat="1" ht="12.75"/>
    <row r="1191" s="35" customFormat="1" ht="12.75"/>
    <row r="1192" s="35" customFormat="1" ht="12.75"/>
    <row r="1193" s="35" customFormat="1" ht="12.75"/>
    <row r="1194" s="35" customFormat="1" ht="12.75"/>
    <row r="1195" s="35" customFormat="1" ht="12.75"/>
    <row r="1196" s="35" customFormat="1" ht="12.75"/>
    <row r="1197" s="35" customFormat="1" ht="12.75"/>
    <row r="1198" s="35" customFormat="1" ht="12.75"/>
    <row r="1199" s="35" customFormat="1" ht="12.75"/>
    <row r="1200" s="35" customFormat="1" ht="12.75"/>
    <row r="1201" s="35" customFormat="1" ht="12.75"/>
    <row r="1202" s="35" customFormat="1" ht="12.75"/>
    <row r="1203" s="35" customFormat="1" ht="12.75"/>
    <row r="1204" s="35" customFormat="1" ht="12.75"/>
    <row r="1205" s="35" customFormat="1" ht="12.75"/>
    <row r="1206" s="35" customFormat="1" ht="12.75"/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</sheetData>
  <sheetProtection password="BBAF" sheet="1"/>
  <mergeCells count="5">
    <mergeCell ref="B52:C53"/>
    <mergeCell ref="B1:C2"/>
    <mergeCell ref="F1:G2"/>
    <mergeCell ref="B3:C4"/>
    <mergeCell ref="B30:C31"/>
  </mergeCells>
  <conditionalFormatting sqref="H4">
    <cfRule type="expression" priority="1" dxfId="10" stopIfTrue="1">
      <formula>$C$8="Hier klicken und auswählen"</formula>
    </cfRule>
    <cfRule type="expression" priority="2" dxfId="7" stopIfTrue="1">
      <formula>C8&lt;&gt;"Hierklicken und auswählen"</formula>
    </cfRule>
  </conditionalFormatting>
  <conditionalFormatting sqref="H9:H10">
    <cfRule type="expression" priority="3" dxfId="8" stopIfTrue="1">
      <formula>$C$8="Hier klicken und auswählen"</formula>
    </cfRule>
    <cfRule type="expression" priority="4" dxfId="7" stopIfTrue="1">
      <formula>C13&lt;&gt;"Hierklicken und auswählen"</formula>
    </cfRule>
  </conditionalFormatting>
  <conditionalFormatting sqref="C56">
    <cfRule type="expression" priority="5" dxfId="2" stopIfTrue="1">
      <formula>$C$68&lt;&gt;""</formula>
    </cfRule>
  </conditionalFormatting>
  <conditionalFormatting sqref="C50">
    <cfRule type="cellIs" priority="6" dxfId="5" operator="lessThanOrEqual" stopIfTrue="1">
      <formula>0</formula>
    </cfRule>
  </conditionalFormatting>
  <conditionalFormatting sqref="G18:G19">
    <cfRule type="expression" priority="7" dxfId="6" stopIfTrue="1">
      <formula>$G$18&gt;0</formula>
    </cfRule>
    <cfRule type="expression" priority="8" dxfId="5" stopIfTrue="1">
      <formula>$G$18&lt;0</formula>
    </cfRule>
  </conditionalFormatting>
  <conditionalFormatting sqref="G9">
    <cfRule type="expression" priority="9" dxfId="3" stopIfTrue="1">
      <formula>$G$9="Fehler"</formula>
    </cfRule>
  </conditionalFormatting>
  <conditionalFormatting sqref="C18:C19">
    <cfRule type="expression" priority="10" dxfId="2" stopIfTrue="1">
      <formula>$C$22&lt;&gt;""</formula>
    </cfRule>
  </conditionalFormatting>
  <conditionalFormatting sqref="C47">
    <cfRule type="expression" priority="11" dxfId="2" stopIfTrue="1">
      <formula>$C$49&lt;&gt;""</formula>
    </cfRule>
  </conditionalFormatting>
  <dataValidations count="4">
    <dataValidation type="list" allowBlank="1" showInputMessage="1" showErrorMessage="1" sqref="C15">
      <formula1>Transporteinheiten</formula1>
    </dataValidation>
    <dataValidation type="list" allowBlank="1" showInputMessage="1" showErrorMessage="1" sqref="C34">
      <formula1>Stammdurchmesser</formula1>
    </dataValidation>
    <dataValidation type="list" allowBlank="1" showInputMessage="1" showErrorMessage="1" sqref="C8">
      <formula1>Mähhacker</formula1>
    </dataValidation>
    <dataValidation type="list" allowBlank="1" showInputMessage="1" showErrorMessage="1" sqref="C59">
      <formula1>Transporteinheiten_2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80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.7109375" style="11" customWidth="1"/>
    <col min="2" max="3" width="33.00390625" style="11" customWidth="1"/>
    <col min="4" max="4" width="2.28125" style="11" customWidth="1"/>
    <col min="5" max="5" width="8.00390625" style="11" customWidth="1"/>
    <col min="6" max="6" width="32.28125" style="11" customWidth="1"/>
    <col min="7" max="9" width="11.421875" style="11" customWidth="1"/>
    <col min="10" max="10" width="13.140625" style="11" customWidth="1"/>
    <col min="11" max="13" width="11.421875" style="11" customWidth="1"/>
    <col min="14" max="241" width="11.421875" style="26" customWidth="1"/>
    <col min="242" max="16384" width="11.421875" style="11" customWidth="1"/>
  </cols>
  <sheetData>
    <row r="1" spans="1:13" ht="14.25" customHeight="1">
      <c r="A1" s="2"/>
      <c r="B1" s="247" t="s">
        <v>295</v>
      </c>
      <c r="C1" s="248"/>
      <c r="D1" s="82"/>
      <c r="E1" s="6"/>
      <c r="F1" s="250" t="s">
        <v>16</v>
      </c>
      <c r="G1" s="251"/>
      <c r="H1" s="80"/>
      <c r="I1" s="81"/>
      <c r="J1" s="81"/>
      <c r="K1" s="81"/>
      <c r="L1" s="81"/>
      <c r="M1" s="81"/>
    </row>
    <row r="2" spans="1:13" ht="14.25" customHeight="1" thickBot="1">
      <c r="A2" s="106"/>
      <c r="B2" s="249"/>
      <c r="C2" s="249"/>
      <c r="D2" s="83"/>
      <c r="E2" s="113"/>
      <c r="F2" s="252"/>
      <c r="G2" s="252"/>
      <c r="H2" s="85"/>
      <c r="I2" s="85"/>
      <c r="J2" s="85"/>
      <c r="K2" s="81"/>
      <c r="L2" s="81"/>
      <c r="M2" s="81"/>
    </row>
    <row r="3" spans="1:13" ht="12" customHeight="1" thickBot="1">
      <c r="A3" s="2"/>
      <c r="B3" s="262" t="s">
        <v>167</v>
      </c>
      <c r="C3" s="263"/>
      <c r="D3" s="44"/>
      <c r="E3" s="6"/>
      <c r="F3" s="26"/>
      <c r="G3" s="26"/>
      <c r="H3" s="26"/>
      <c r="I3" s="35"/>
      <c r="J3" s="35"/>
      <c r="K3" s="35"/>
      <c r="L3" s="35"/>
      <c r="M3" s="35"/>
    </row>
    <row r="4" spans="1:13" ht="12" customHeight="1" thickBot="1">
      <c r="A4" s="2"/>
      <c r="B4" s="246"/>
      <c r="C4" s="246"/>
      <c r="D4" s="44"/>
      <c r="E4" s="6"/>
      <c r="F4" s="37" t="s">
        <v>28</v>
      </c>
      <c r="G4" s="130">
        <f>IF((Ertragsschätzung!C11=""),LOOKUP(1,1/(Vollbaumernter=Wahl_der_Erntemaschine_2),Erntezeit_GAZ_3),LOOKUP(1,1/(Vollbaumernter=Wahl_der_Erntemaschine_2),Erntezeit_GAZ_4))</f>
        <v>3.312</v>
      </c>
      <c r="H4" s="35" t="s">
        <v>121</v>
      </c>
      <c r="I4" s="35"/>
      <c r="J4" s="35"/>
      <c r="K4" s="35"/>
      <c r="L4" s="35"/>
      <c r="M4" s="35"/>
    </row>
    <row r="5" spans="1:13" ht="12" customHeight="1" thickBot="1">
      <c r="A5" s="2"/>
      <c r="B5" s="46"/>
      <c r="C5" s="47"/>
      <c r="D5" s="45"/>
      <c r="E5" s="6"/>
      <c r="F5" s="37" t="s">
        <v>152</v>
      </c>
      <c r="G5" s="78">
        <f>Ernte!F64</f>
        <v>5.511374999999999</v>
      </c>
      <c r="H5" s="121"/>
      <c r="I5" s="35"/>
      <c r="J5" s="35"/>
      <c r="K5" s="35"/>
      <c r="L5" s="35"/>
      <c r="M5" s="35"/>
    </row>
    <row r="6" spans="1:13" ht="12" customHeight="1" thickBot="1">
      <c r="A6" s="2"/>
      <c r="B6" s="100" t="s">
        <v>131</v>
      </c>
      <c r="C6" s="215">
        <v>400</v>
      </c>
      <c r="D6" s="3"/>
      <c r="E6" s="6"/>
      <c r="F6" s="136" t="s">
        <v>170</v>
      </c>
      <c r="G6" s="130">
        <f>IF((C51&lt;&gt;""),Transport!K70,LOOKUP(1,1/(Transporteinheiten_2=Wahl_der_Transporteinheiten_3),Dauer_der_Transportfahrt_2))</f>
        <v>20.27093596059113</v>
      </c>
      <c r="H6" s="121"/>
      <c r="I6" s="35"/>
      <c r="J6" s="35"/>
      <c r="K6" s="35"/>
      <c r="L6" s="35"/>
      <c r="M6" s="35"/>
    </row>
    <row r="7" spans="1:13" ht="12" customHeight="1" thickBot="1">
      <c r="A7" s="2"/>
      <c r="B7" s="101"/>
      <c r="C7" s="5"/>
      <c r="D7" s="2"/>
      <c r="E7" s="6"/>
      <c r="F7" s="37"/>
      <c r="G7" s="38"/>
      <c r="I7" s="94"/>
      <c r="J7" s="94"/>
      <c r="K7" s="94"/>
      <c r="L7" s="35"/>
      <c r="M7" s="35"/>
    </row>
    <row r="8" spans="1:13" ht="12" customHeight="1" thickBot="1">
      <c r="A8" s="2"/>
      <c r="B8" s="101" t="s">
        <v>1</v>
      </c>
      <c r="C8" s="216" t="s">
        <v>6</v>
      </c>
      <c r="D8" s="2"/>
      <c r="E8" s="6"/>
      <c r="F8" s="37" t="s">
        <v>103</v>
      </c>
      <c r="G8" s="36" t="s">
        <v>68</v>
      </c>
      <c r="H8" s="35"/>
      <c r="I8" s="94"/>
      <c r="J8" s="94"/>
      <c r="K8" s="94"/>
      <c r="L8" s="35"/>
      <c r="M8" s="35"/>
    </row>
    <row r="9" spans="1:13" ht="12" customHeight="1" thickBot="1">
      <c r="A9" s="2"/>
      <c r="B9" s="101"/>
      <c r="C9" s="49">
        <f>IF(OR(AND($C$18&gt;15,$C$8="Rutenernter Stemster"),AND($C$18&gt;20,$C$8="BioBaler")),"Die Bäume sind zu dick für diesen Maschinentyp.","")</f>
      </c>
      <c r="D9" s="2"/>
      <c r="E9" s="6"/>
      <c r="F9" s="37" t="s">
        <v>134</v>
      </c>
      <c r="G9" s="31">
        <f>C6</f>
        <v>400</v>
      </c>
      <c r="H9" s="35"/>
      <c r="I9" s="94"/>
      <c r="J9" s="94"/>
      <c r="K9" s="94"/>
      <c r="L9" s="35"/>
      <c r="M9" s="35"/>
    </row>
    <row r="10" spans="1:13" ht="12" customHeight="1" thickBot="1">
      <c r="A10" s="2"/>
      <c r="B10" s="101"/>
      <c r="C10" s="112">
        <f>IF(OR(AND($C$18&gt;15,$C$8="Rutenernter Stemster"),AND($C$18&gt;20,$C$8="BioBaler")),"Wählen Sie eine andere Maschine.","")</f>
      </c>
      <c r="D10" s="2"/>
      <c r="E10" s="6"/>
      <c r="F10" s="37" t="s">
        <v>102</v>
      </c>
      <c r="G10" s="31">
        <f>IF(C9&lt;&gt;"","Fehler",IF(C12&lt;&gt;"",C12*G4,LOOKUP(1,1/(Vollbaumernter=Wahl_der_Erntemaschine_2),Erntekosten_pro_Stunde_2)*G4))</f>
        <v>662.4</v>
      </c>
      <c r="H10" s="35" t="s">
        <v>121</v>
      </c>
      <c r="I10" s="94"/>
      <c r="J10" s="94"/>
      <c r="K10" s="94"/>
      <c r="L10" s="35"/>
      <c r="M10" s="35"/>
    </row>
    <row r="11" spans="1:13" ht="12" customHeight="1" thickBot="1">
      <c r="A11" s="2"/>
      <c r="B11" s="71" t="s">
        <v>110</v>
      </c>
      <c r="C11" s="112"/>
      <c r="D11" s="2"/>
      <c r="E11" s="6"/>
      <c r="F11" s="37" t="s">
        <v>157</v>
      </c>
      <c r="G11" s="31">
        <f>IF(C41&lt;&gt;"",C41*C23+C36,C38*G5+C36)</f>
        <v>1138.184</v>
      </c>
      <c r="H11" s="124"/>
      <c r="I11" s="94"/>
      <c r="J11" s="94"/>
      <c r="K11" s="94"/>
      <c r="L11" s="35"/>
      <c r="M11" s="35"/>
    </row>
    <row r="12" spans="1:13" ht="12" customHeight="1" thickBot="1">
      <c r="A12" s="2"/>
      <c r="B12" s="71" t="s">
        <v>113</v>
      </c>
      <c r="C12" s="217"/>
      <c r="D12" s="2"/>
      <c r="E12" s="6"/>
      <c r="F12" s="37" t="s">
        <v>160</v>
      </c>
      <c r="G12" s="31">
        <f>C34+IF(C58&lt;&gt;"",C58,IF(C51&lt;&gt;"",Transport!G81,LOOKUP(1,1/(Transporteinheiten_2=Wahl_der_Transporteinheiten_3),Kosten_der_Transporteinheiten_3)))</f>
        <v>440.90999999999997</v>
      </c>
      <c r="H12" s="35"/>
      <c r="I12" s="94"/>
      <c r="J12" s="94"/>
      <c r="K12" s="94"/>
      <c r="L12" s="35"/>
      <c r="M12" s="35"/>
    </row>
    <row r="13" spans="1:13" ht="12" customHeight="1">
      <c r="A13" s="2"/>
      <c r="B13" s="102"/>
      <c r="C13" s="111"/>
      <c r="D13" s="103"/>
      <c r="E13" s="6"/>
      <c r="F13" s="39"/>
      <c r="G13" s="40"/>
      <c r="H13" s="35"/>
      <c r="I13" s="94"/>
      <c r="J13" s="94"/>
      <c r="K13" s="94"/>
      <c r="L13" s="35"/>
      <c r="M13" s="35"/>
    </row>
    <row r="14" spans="1:13" ht="12" customHeight="1" thickBot="1">
      <c r="A14" s="2"/>
      <c r="B14" s="256" t="s">
        <v>144</v>
      </c>
      <c r="C14" s="245"/>
      <c r="D14" s="2"/>
      <c r="E14" s="6"/>
      <c r="F14" s="37" t="s">
        <v>77</v>
      </c>
      <c r="G14" s="40"/>
      <c r="H14" s="41"/>
      <c r="I14" s="35"/>
      <c r="J14" s="35"/>
      <c r="K14" s="35"/>
      <c r="L14" s="35"/>
      <c r="M14" s="35"/>
    </row>
    <row r="15" spans="1:13" ht="12" customHeight="1" thickBot="1">
      <c r="A15" s="2"/>
      <c r="B15" s="246"/>
      <c r="C15" s="246"/>
      <c r="D15" s="2"/>
      <c r="E15" s="6"/>
      <c r="F15" s="37" t="s">
        <v>142</v>
      </c>
      <c r="G15" s="32">
        <f>SUM(G9:G12)</f>
        <v>2641.4939999999997</v>
      </c>
      <c r="H15" s="41"/>
      <c r="I15" s="35"/>
      <c r="J15" s="35"/>
      <c r="K15" s="35"/>
      <c r="L15" s="35"/>
      <c r="M15" s="35"/>
    </row>
    <row r="16" spans="1:13" ht="12" customHeight="1" thickBot="1">
      <c r="A16" s="2"/>
      <c r="B16" s="97"/>
      <c r="C16" s="5"/>
      <c r="D16" s="2"/>
      <c r="E16" s="6"/>
      <c r="F16" s="37" t="s">
        <v>106</v>
      </c>
      <c r="G16" s="30">
        <f>IF(OR(AND(C26,C28&lt;&gt;""),C28&lt;&gt;""),C28*C23,C26*C22)</f>
        <v>3353.3999999999996</v>
      </c>
      <c r="H16" s="41"/>
      <c r="I16" s="35"/>
      <c r="J16" s="35"/>
      <c r="K16" s="35"/>
      <c r="L16" s="35"/>
      <c r="M16" s="35"/>
    </row>
    <row r="17" spans="1:13" ht="12" customHeight="1" thickBot="1">
      <c r="A17" s="2"/>
      <c r="B17" s="101" t="s">
        <v>5</v>
      </c>
      <c r="C17" s="5"/>
      <c r="D17" s="2"/>
      <c r="E17" s="6"/>
      <c r="F17" s="37"/>
      <c r="G17" s="92"/>
      <c r="H17" s="41"/>
      <c r="I17" s="35"/>
      <c r="J17" s="35"/>
      <c r="K17" s="35"/>
      <c r="L17" s="35"/>
      <c r="M17" s="35"/>
    </row>
    <row r="18" spans="1:13" ht="12" customHeight="1" thickBot="1">
      <c r="A18" s="2"/>
      <c r="B18" s="100" t="s">
        <v>7</v>
      </c>
      <c r="C18" s="216">
        <v>13</v>
      </c>
      <c r="D18" s="2"/>
      <c r="E18" s="6"/>
      <c r="F18" s="37" t="s">
        <v>107</v>
      </c>
      <c r="G18" s="40"/>
      <c r="H18" s="35"/>
      <c r="I18" s="35"/>
      <c r="J18" s="94"/>
      <c r="K18" s="94"/>
      <c r="L18" s="94"/>
      <c r="M18" s="35"/>
    </row>
    <row r="19" spans="1:13" ht="12" customHeight="1" thickBot="1">
      <c r="A19" s="2"/>
      <c r="B19" s="97"/>
      <c r="C19" s="98"/>
      <c r="D19" s="2"/>
      <c r="E19" s="6"/>
      <c r="F19" s="37" t="s">
        <v>78</v>
      </c>
      <c r="G19" s="30">
        <f>G16-G15</f>
        <v>711.906</v>
      </c>
      <c r="H19" s="35"/>
      <c r="J19" s="94"/>
      <c r="K19" s="125" t="s">
        <v>127</v>
      </c>
      <c r="L19" s="125" t="s">
        <v>128</v>
      </c>
      <c r="M19" s="26"/>
    </row>
    <row r="20" spans="1:13" ht="12" customHeight="1" thickBot="1">
      <c r="A20" s="2"/>
      <c r="B20" s="97"/>
      <c r="C20" s="5"/>
      <c r="D20" s="2"/>
      <c r="E20" s="6"/>
      <c r="F20" s="37"/>
      <c r="G20" s="42"/>
      <c r="H20" s="121"/>
      <c r="I20" s="127"/>
      <c r="J20" s="128" t="s">
        <v>128</v>
      </c>
      <c r="K20" s="129"/>
      <c r="L20" s="126">
        <f>G16</f>
        <v>3353.3999999999996</v>
      </c>
      <c r="M20" s="26"/>
    </row>
    <row r="21" spans="1:13" ht="12" customHeight="1" thickBot="1">
      <c r="A21" s="2"/>
      <c r="B21" s="58" t="s">
        <v>35</v>
      </c>
      <c r="C21" s="5"/>
      <c r="D21" s="2"/>
      <c r="E21" s="6"/>
      <c r="F21" s="37" t="s">
        <v>31</v>
      </c>
      <c r="G21" s="108">
        <f>G15/C22</f>
        <v>70.89355877616747</v>
      </c>
      <c r="H21" s="35"/>
      <c r="I21" s="127"/>
      <c r="J21" s="95" t="s">
        <v>162</v>
      </c>
      <c r="K21" s="126">
        <f>G9</f>
        <v>400</v>
      </c>
      <c r="L21" s="129"/>
      <c r="M21" s="26"/>
    </row>
    <row r="22" spans="1:13" ht="12" customHeight="1" thickBot="1">
      <c r="A22" s="2"/>
      <c r="B22" s="61" t="s">
        <v>115</v>
      </c>
      <c r="C22" s="54">
        <f>IF(Ertragsschätzung!C26&lt;&gt;"",Ertragsschätzung!C26,Ertragsschätzung!C22)</f>
        <v>37.26</v>
      </c>
      <c r="D22" s="2"/>
      <c r="E22" s="6"/>
      <c r="F22" s="37" t="s">
        <v>36</v>
      </c>
      <c r="G22" s="109">
        <f>G21/7.1</f>
        <v>9.985008278333446</v>
      </c>
      <c r="H22" s="35"/>
      <c r="I22" s="127"/>
      <c r="J22" s="95" t="s">
        <v>154</v>
      </c>
      <c r="K22" s="126">
        <f>G10</f>
        <v>662.4</v>
      </c>
      <c r="L22" s="125"/>
      <c r="M22" s="127"/>
    </row>
    <row r="23" spans="1:13" ht="12" customHeight="1" thickBot="1">
      <c r="A23" s="2"/>
      <c r="B23" s="61" t="s">
        <v>114</v>
      </c>
      <c r="C23" s="54">
        <f>IF(Ertragsschätzung!C27&lt;&gt;"",Ertragsschätzung!C27,Ertragsschätzung!C23)</f>
        <v>264.546</v>
      </c>
      <c r="D23" s="106"/>
      <c r="E23" s="6"/>
      <c r="F23" s="37" t="s">
        <v>94</v>
      </c>
      <c r="G23" s="109">
        <f>G21/4.9</f>
        <v>14.468073219626012</v>
      </c>
      <c r="H23" s="35"/>
      <c r="I23" s="127"/>
      <c r="J23" s="95" t="s">
        <v>163</v>
      </c>
      <c r="K23" s="126">
        <f>G11</f>
        <v>1138.184</v>
      </c>
      <c r="L23" s="125"/>
      <c r="M23" s="127"/>
    </row>
    <row r="24" spans="1:13" ht="12" customHeight="1" thickBot="1">
      <c r="A24" s="2"/>
      <c r="B24" s="106"/>
      <c r="C24" s="5"/>
      <c r="D24" s="106"/>
      <c r="E24" s="6"/>
      <c r="F24" s="37" t="s">
        <v>30</v>
      </c>
      <c r="G24" s="108">
        <f>IF(Ertragsschätzung!C11="",G15/Ernte!D10,G15/Ertragsschätzung!C11)</f>
        <v>1595.105072463768</v>
      </c>
      <c r="H24" s="35"/>
      <c r="I24" s="127"/>
      <c r="J24" s="95" t="s">
        <v>164</v>
      </c>
      <c r="K24" s="126">
        <f>G12</f>
        <v>440.90999999999997</v>
      </c>
      <c r="L24" s="125"/>
      <c r="M24" s="127"/>
    </row>
    <row r="25" spans="1:13" ht="12" customHeight="1" thickBot="1">
      <c r="A25" s="2"/>
      <c r="B25" s="58" t="s">
        <v>19</v>
      </c>
      <c r="C25" s="48"/>
      <c r="D25" s="2"/>
      <c r="E25" s="6"/>
      <c r="F25" s="26"/>
      <c r="G25" s="26"/>
      <c r="H25" s="124"/>
      <c r="I25" s="127"/>
      <c r="J25" s="127"/>
      <c r="K25" s="127"/>
      <c r="L25" s="127"/>
      <c r="M25" s="127"/>
    </row>
    <row r="26" spans="1:13" ht="12" customHeight="1" thickBot="1">
      <c r="A26" s="2"/>
      <c r="B26" s="61" t="s">
        <v>117</v>
      </c>
      <c r="C26" s="199">
        <v>90</v>
      </c>
      <c r="D26" s="2"/>
      <c r="E26" s="6"/>
      <c r="F26" s="26"/>
      <c r="G26" s="26"/>
      <c r="H26" s="26"/>
      <c r="I26" s="35"/>
      <c r="J26" s="35"/>
      <c r="K26" s="35"/>
      <c r="L26" s="35"/>
      <c r="M26" s="35"/>
    </row>
    <row r="27" spans="1:13" ht="12" customHeight="1" thickBot="1">
      <c r="A27" s="2"/>
      <c r="B27" s="71" t="s">
        <v>240</v>
      </c>
      <c r="C27" s="104"/>
      <c r="D27" s="2"/>
      <c r="E27" s="6"/>
      <c r="F27" s="26"/>
      <c r="G27" s="26"/>
      <c r="H27" s="26"/>
      <c r="I27" s="35"/>
      <c r="J27" s="35"/>
      <c r="K27" s="35"/>
      <c r="L27" s="35"/>
      <c r="M27" s="35"/>
    </row>
    <row r="28" spans="1:13" ht="12" customHeight="1" thickBot="1">
      <c r="A28" s="2"/>
      <c r="B28" s="195" t="s">
        <v>116</v>
      </c>
      <c r="C28" s="194"/>
      <c r="D28" s="2"/>
      <c r="E28" s="6"/>
      <c r="F28" s="26"/>
      <c r="G28" s="6"/>
      <c r="H28" s="26"/>
      <c r="I28" s="26"/>
      <c r="J28" s="26"/>
      <c r="K28" s="26"/>
      <c r="L28" s="26"/>
      <c r="M28" s="26"/>
    </row>
    <row r="29" spans="1:13" ht="12" customHeight="1">
      <c r="A29" s="2"/>
      <c r="B29" s="107"/>
      <c r="C29" s="107"/>
      <c r="D29" s="107"/>
      <c r="E29" s="6"/>
      <c r="F29" s="26"/>
      <c r="G29" s="6"/>
      <c r="H29" s="26"/>
      <c r="I29" s="26"/>
      <c r="J29" s="26"/>
      <c r="K29" s="26"/>
      <c r="L29" s="26"/>
      <c r="M29" s="26"/>
    </row>
    <row r="30" spans="1:13" ht="12" customHeight="1">
      <c r="A30" s="2"/>
      <c r="B30" s="257" t="s">
        <v>169</v>
      </c>
      <c r="C30" s="258"/>
      <c r="D30" s="2"/>
      <c r="E30" s="6"/>
      <c r="F30" s="26"/>
      <c r="G30" s="6"/>
      <c r="H30" s="26"/>
      <c r="I30" s="26"/>
      <c r="J30" s="26"/>
      <c r="K30" s="26"/>
      <c r="L30" s="26"/>
      <c r="M30" s="26"/>
    </row>
    <row r="31" spans="1:13" ht="12" customHeight="1">
      <c r="A31" s="2"/>
      <c r="B31" s="259"/>
      <c r="C31" s="260"/>
      <c r="D31" s="2"/>
      <c r="E31" s="6"/>
      <c r="F31" s="26"/>
      <c r="G31" s="6"/>
      <c r="H31" s="26"/>
      <c r="I31" s="26"/>
      <c r="J31" s="26"/>
      <c r="K31" s="26"/>
      <c r="L31" s="26"/>
      <c r="M31" s="26"/>
    </row>
    <row r="32" spans="1:13" ht="12" customHeight="1">
      <c r="A32" s="2"/>
      <c r="B32" s="259"/>
      <c r="C32" s="260"/>
      <c r="D32" s="2"/>
      <c r="E32" s="6"/>
      <c r="F32" s="26"/>
      <c r="G32" s="6"/>
      <c r="H32" s="26"/>
      <c r="I32" s="26"/>
      <c r="J32" s="26"/>
      <c r="K32" s="26"/>
      <c r="L32" s="26"/>
      <c r="M32" s="26"/>
    </row>
    <row r="33" spans="1:13" ht="12" customHeight="1" thickBot="1">
      <c r="A33" s="2"/>
      <c r="B33" s="261"/>
      <c r="C33" s="261"/>
      <c r="D33" s="2"/>
      <c r="E33" s="6"/>
      <c r="F33" s="26"/>
      <c r="G33" s="6"/>
      <c r="H33" s="26"/>
      <c r="I33" s="26"/>
      <c r="J33" s="26"/>
      <c r="K33" s="26"/>
      <c r="L33" s="26"/>
      <c r="M33" s="26"/>
    </row>
    <row r="34" spans="1:13" ht="12" customHeight="1" thickBot="1">
      <c r="A34" s="2"/>
      <c r="B34" s="101" t="s">
        <v>143</v>
      </c>
      <c r="C34" s="215"/>
      <c r="D34" s="2"/>
      <c r="E34" s="6"/>
      <c r="F34" s="26"/>
      <c r="G34" s="6"/>
      <c r="H34" s="26"/>
      <c r="I34" s="26"/>
      <c r="J34" s="26"/>
      <c r="K34" s="26"/>
      <c r="L34" s="26"/>
      <c r="M34" s="26"/>
    </row>
    <row r="35" spans="1:13" ht="12" customHeight="1" thickBot="1">
      <c r="A35" s="2"/>
      <c r="B35" s="97"/>
      <c r="C35" s="99"/>
      <c r="D35" s="61"/>
      <c r="E35" s="6"/>
      <c r="F35" s="26"/>
      <c r="G35" s="6"/>
      <c r="H35" s="26"/>
      <c r="I35" s="26"/>
      <c r="J35" s="26"/>
      <c r="K35" s="26"/>
      <c r="L35" s="26"/>
      <c r="M35" s="26"/>
    </row>
    <row r="36" spans="1:13" ht="12" customHeight="1" thickBot="1">
      <c r="A36" s="2"/>
      <c r="B36" s="101" t="s">
        <v>140</v>
      </c>
      <c r="C36" s="215">
        <v>80</v>
      </c>
      <c r="D36" s="2"/>
      <c r="E36" s="6"/>
      <c r="F36" s="26"/>
      <c r="G36" s="6"/>
      <c r="H36" s="26"/>
      <c r="I36" s="26"/>
      <c r="J36" s="26"/>
      <c r="K36" s="26"/>
      <c r="L36" s="26"/>
      <c r="M36" s="26"/>
    </row>
    <row r="37" spans="1:13" ht="12" customHeight="1" thickBot="1">
      <c r="A37" s="2"/>
      <c r="B37" s="101"/>
      <c r="C37" s="104"/>
      <c r="D37" s="2"/>
      <c r="E37" s="6"/>
      <c r="F37" s="26"/>
      <c r="G37" s="6"/>
      <c r="H37" s="26"/>
      <c r="I37" s="26"/>
      <c r="J37" s="26"/>
      <c r="K37" s="26"/>
      <c r="L37" s="26"/>
      <c r="M37" s="26"/>
    </row>
    <row r="38" spans="1:13" ht="12" customHeight="1" thickBot="1">
      <c r="A38" s="2"/>
      <c r="B38" s="101" t="s">
        <v>136</v>
      </c>
      <c r="C38" s="215"/>
      <c r="D38" s="2"/>
      <c r="E38" s="6"/>
      <c r="F38" s="6"/>
      <c r="G38" s="6"/>
      <c r="H38" s="26"/>
      <c r="I38" s="26"/>
      <c r="J38" s="26"/>
      <c r="K38" s="26"/>
      <c r="L38" s="26"/>
      <c r="M38" s="26"/>
    </row>
    <row r="39" spans="1:13" ht="12" customHeight="1">
      <c r="A39" s="2"/>
      <c r="B39" s="101"/>
      <c r="C39" s="193"/>
      <c r="D39" s="2"/>
      <c r="E39" s="6"/>
      <c r="F39" s="6"/>
      <c r="G39" s="6"/>
      <c r="H39" s="26"/>
      <c r="I39" s="26"/>
      <c r="J39" s="26"/>
      <c r="K39" s="26"/>
      <c r="L39" s="26"/>
      <c r="M39" s="26"/>
    </row>
    <row r="40" spans="1:13" ht="12" customHeight="1" thickBot="1">
      <c r="A40" s="2"/>
      <c r="B40" s="110" t="s">
        <v>240</v>
      </c>
      <c r="C40" s="104"/>
      <c r="D40" s="2"/>
      <c r="E40" s="6"/>
      <c r="F40" s="6"/>
      <c r="G40" s="6"/>
      <c r="H40" s="26"/>
      <c r="I40" s="26"/>
      <c r="J40" s="26"/>
      <c r="K40" s="26"/>
      <c r="L40" s="26"/>
      <c r="M40" s="26"/>
    </row>
    <row r="41" spans="1:13" ht="12" customHeight="1" thickBot="1">
      <c r="A41" s="2"/>
      <c r="B41" s="110" t="s">
        <v>139</v>
      </c>
      <c r="C41" s="217">
        <v>4</v>
      </c>
      <c r="D41" s="2"/>
      <c r="E41" s="6"/>
      <c r="F41" s="6"/>
      <c r="G41" s="6"/>
      <c r="H41" s="26"/>
      <c r="I41" s="26"/>
      <c r="J41" s="26"/>
      <c r="K41" s="26"/>
      <c r="L41" s="26"/>
      <c r="M41" s="26"/>
    </row>
    <row r="42" spans="1:13" ht="12" customHeight="1">
      <c r="A42" s="2"/>
      <c r="B42" s="110"/>
      <c r="C42" s="196"/>
      <c r="D42" s="2"/>
      <c r="E42" s="6"/>
      <c r="F42" s="6"/>
      <c r="G42" s="6"/>
      <c r="H42" s="26"/>
      <c r="I42" s="26"/>
      <c r="J42" s="26"/>
      <c r="K42" s="26"/>
      <c r="L42" s="26"/>
      <c r="M42" s="26"/>
    </row>
    <row r="43" spans="1:13" ht="12" customHeight="1" thickBot="1">
      <c r="A43" s="2"/>
      <c r="B43" s="101"/>
      <c r="C43" s="106"/>
      <c r="D43" s="2"/>
      <c r="E43" s="6"/>
      <c r="F43" s="6"/>
      <c r="G43" s="6"/>
      <c r="H43" s="26"/>
      <c r="I43" s="26"/>
      <c r="J43" s="26"/>
      <c r="K43" s="26"/>
      <c r="L43" s="26"/>
      <c r="M43" s="26"/>
    </row>
    <row r="44" spans="1:13" ht="12" customHeight="1" thickBot="1">
      <c r="A44" s="2"/>
      <c r="B44" s="101" t="s">
        <v>69</v>
      </c>
      <c r="C44" s="216" t="s">
        <v>290</v>
      </c>
      <c r="D44" s="2"/>
      <c r="E44" s="6"/>
      <c r="F44" s="6"/>
      <c r="G44" s="6"/>
      <c r="H44" s="26"/>
      <c r="I44" s="26"/>
      <c r="J44" s="26"/>
      <c r="K44" s="26"/>
      <c r="L44" s="26"/>
      <c r="M44" s="26"/>
    </row>
    <row r="45" spans="1:13" ht="12" customHeight="1">
      <c r="A45" s="2"/>
      <c r="B45" s="101"/>
      <c r="C45" s="104"/>
      <c r="D45" s="2"/>
      <c r="E45" s="6"/>
      <c r="F45" s="6"/>
      <c r="G45" s="6"/>
      <c r="H45" s="26"/>
      <c r="I45" s="26"/>
      <c r="J45" s="26"/>
      <c r="K45" s="26"/>
      <c r="L45" s="26"/>
      <c r="M45" s="26"/>
    </row>
    <row r="46" spans="1:13" ht="12" customHeight="1" thickBot="1">
      <c r="A46" s="2"/>
      <c r="B46" s="50" t="s">
        <v>119</v>
      </c>
      <c r="C46" s="104"/>
      <c r="D46" s="97"/>
      <c r="E46" s="6"/>
      <c r="F46" s="6"/>
      <c r="G46" s="6"/>
      <c r="H46" s="26"/>
      <c r="I46" s="26"/>
      <c r="J46" s="26"/>
      <c r="K46" s="26"/>
      <c r="L46" s="26"/>
      <c r="M46" s="26"/>
    </row>
    <row r="47" spans="1:13" ht="12" customHeight="1" thickBot="1">
      <c r="A47" s="2"/>
      <c r="B47" s="101" t="s">
        <v>17</v>
      </c>
      <c r="C47" s="215">
        <v>1</v>
      </c>
      <c r="D47" s="97"/>
      <c r="E47" s="6"/>
      <c r="F47" s="6"/>
      <c r="G47" s="6"/>
      <c r="H47" s="26"/>
      <c r="I47" s="26"/>
      <c r="J47" s="26"/>
      <c r="K47" s="26"/>
      <c r="L47" s="26"/>
      <c r="M47" s="26"/>
    </row>
    <row r="48" spans="1:13" ht="12" customHeight="1" thickBot="1">
      <c r="A48" s="2"/>
      <c r="B48" s="101" t="s">
        <v>18</v>
      </c>
      <c r="C48" s="215">
        <v>3</v>
      </c>
      <c r="D48" s="2"/>
      <c r="E48" s="6"/>
      <c r="F48" s="6"/>
      <c r="G48" s="6"/>
      <c r="H48" s="26"/>
      <c r="I48" s="26"/>
      <c r="J48" s="26"/>
      <c r="K48" s="26"/>
      <c r="L48" s="26"/>
      <c r="M48" s="26"/>
    </row>
    <row r="49" spans="1:13" ht="12" customHeight="1">
      <c r="A49" s="2"/>
      <c r="B49" s="101"/>
      <c r="C49" s="104"/>
      <c r="D49" s="2"/>
      <c r="E49" s="6"/>
      <c r="F49" s="6"/>
      <c r="G49" s="6"/>
      <c r="H49" s="26"/>
      <c r="I49" s="26"/>
      <c r="J49" s="26"/>
      <c r="K49" s="26"/>
      <c r="L49" s="26"/>
      <c r="M49" s="26"/>
    </row>
    <row r="50" spans="1:13" ht="12" customHeight="1" thickBot="1">
      <c r="A50" s="2"/>
      <c r="B50" s="71" t="s">
        <v>110</v>
      </c>
      <c r="C50" s="48"/>
      <c r="D50" s="45"/>
      <c r="E50" s="6"/>
      <c r="F50" s="6"/>
      <c r="G50" s="6"/>
      <c r="H50" s="26"/>
      <c r="I50" s="26"/>
      <c r="J50" s="26"/>
      <c r="K50" s="26"/>
      <c r="L50" s="26"/>
      <c r="M50" s="26"/>
    </row>
    <row r="51" spans="1:13" ht="12" customHeight="1" thickBot="1">
      <c r="A51" s="2"/>
      <c r="B51" s="71" t="s">
        <v>123</v>
      </c>
      <c r="C51" s="219"/>
      <c r="D51" s="45"/>
      <c r="E51" s="6"/>
      <c r="F51" s="81"/>
      <c r="G51" s="6"/>
      <c r="H51" s="26"/>
      <c r="I51" s="26"/>
      <c r="J51" s="26"/>
      <c r="K51" s="26"/>
      <c r="L51" s="26"/>
      <c r="M51" s="26"/>
    </row>
    <row r="52" spans="1:13" ht="12" customHeight="1">
      <c r="A52" s="2"/>
      <c r="B52" s="71"/>
      <c r="C52" s="104"/>
      <c r="D52" s="45"/>
      <c r="E52" s="6"/>
      <c r="F52" s="6"/>
      <c r="G52" s="6"/>
      <c r="H52" s="26"/>
      <c r="I52" s="26"/>
      <c r="J52" s="26"/>
      <c r="K52" s="26"/>
      <c r="L52" s="26"/>
      <c r="M52" s="26"/>
    </row>
    <row r="53" spans="1:13" ht="12" customHeight="1" thickBot="1">
      <c r="A53" s="2"/>
      <c r="B53" s="101" t="s">
        <v>12</v>
      </c>
      <c r="C53" s="105"/>
      <c r="D53" s="2"/>
      <c r="E53" s="6"/>
      <c r="F53" s="6"/>
      <c r="G53" s="6"/>
      <c r="H53" s="26"/>
      <c r="I53" s="26"/>
      <c r="J53" s="26"/>
      <c r="K53" s="26"/>
      <c r="L53" s="26"/>
      <c r="M53" s="26"/>
    </row>
    <row r="54" spans="1:13" ht="12" customHeight="1" thickBot="1">
      <c r="A54" s="2"/>
      <c r="B54" s="101" t="s">
        <v>111</v>
      </c>
      <c r="C54" s="54">
        <f>IF(AND(C47="",C48="",C51=""),"",IF(C51&lt;&gt;"",Transport!Q70,LOOKUP(1,1/(Transporteinheiten_2=Wahl_der_Transporteinheiten_3),Anzahl_Transporteinheiten_2)))</f>
        <v>2</v>
      </c>
      <c r="D54" s="2"/>
      <c r="E54" s="6"/>
      <c r="F54" s="6"/>
      <c r="G54" s="6"/>
      <c r="H54" s="26"/>
      <c r="I54" s="26"/>
      <c r="J54" s="26"/>
      <c r="K54" s="26"/>
      <c r="L54" s="26"/>
      <c r="M54" s="26"/>
    </row>
    <row r="55" spans="1:13" ht="12" customHeight="1">
      <c r="A55" s="2"/>
      <c r="B55" s="97"/>
      <c r="C55" s="5"/>
      <c r="D55" s="2"/>
      <c r="E55" s="6"/>
      <c r="F55" s="6"/>
      <c r="G55" s="6"/>
      <c r="H55" s="26"/>
      <c r="I55" s="26"/>
      <c r="J55" s="26"/>
      <c r="K55" s="26"/>
      <c r="L55" s="26"/>
      <c r="M55" s="26"/>
    </row>
    <row r="56" spans="1:13" ht="12" customHeight="1">
      <c r="A56" s="2"/>
      <c r="B56" s="71" t="s">
        <v>110</v>
      </c>
      <c r="C56" s="49"/>
      <c r="D56" s="62"/>
      <c r="E56" s="6"/>
      <c r="F56" s="6"/>
      <c r="G56" s="6"/>
      <c r="H56" s="26"/>
      <c r="I56" s="26"/>
      <c r="J56" s="26"/>
      <c r="K56" s="26"/>
      <c r="L56" s="26"/>
      <c r="M56" s="26"/>
    </row>
    <row r="57" spans="1:13" ht="12" customHeight="1" thickBot="1">
      <c r="A57" s="2"/>
      <c r="B57" s="72" t="s">
        <v>161</v>
      </c>
      <c r="C57" s="49"/>
      <c r="D57" s="63"/>
      <c r="E57"/>
      <c r="F57" s="6"/>
      <c r="G57" s="6"/>
      <c r="H57" s="26"/>
      <c r="I57" s="26"/>
      <c r="J57" s="26"/>
      <c r="K57" s="26"/>
      <c r="L57" s="26"/>
      <c r="M57" s="26"/>
    </row>
    <row r="58" spans="1:13" ht="12" customHeight="1" thickBot="1">
      <c r="A58" s="2"/>
      <c r="B58" s="72" t="s">
        <v>145</v>
      </c>
      <c r="C58" s="194"/>
      <c r="D58" s="44"/>
      <c r="E58" s="6"/>
      <c r="F58" s="6"/>
      <c r="G58" s="6"/>
      <c r="H58" s="26"/>
      <c r="I58" s="26"/>
      <c r="J58" s="26"/>
      <c r="K58" s="26"/>
      <c r="L58" s="26"/>
      <c r="M58" s="26"/>
    </row>
    <row r="59" spans="1:13" ht="12" customHeight="1">
      <c r="A59" s="2"/>
      <c r="B59" s="72"/>
      <c r="C59" s="104"/>
      <c r="D59" s="44"/>
      <c r="E59" s="6"/>
      <c r="F59" s="6"/>
      <c r="G59" s="6"/>
      <c r="H59" s="26"/>
      <c r="I59" s="26"/>
      <c r="J59" s="26"/>
      <c r="K59" s="26"/>
      <c r="L59" s="26"/>
      <c r="M59" s="26"/>
    </row>
    <row r="60" spans="1:13" ht="12" customHeight="1">
      <c r="A60" s="2"/>
      <c r="B60" s="97"/>
      <c r="C60" s="99"/>
      <c r="D60" s="2"/>
      <c r="E60" s="6"/>
      <c r="F60" s="6"/>
      <c r="G60" s="6"/>
      <c r="H60" s="26"/>
      <c r="I60" s="26"/>
      <c r="J60" s="26"/>
      <c r="K60" s="26"/>
      <c r="L60" s="26"/>
      <c r="M60" s="26"/>
    </row>
    <row r="61" spans="1:13" ht="12" customHeight="1">
      <c r="A61" s="2"/>
      <c r="B61" s="2"/>
      <c r="C61" s="2"/>
      <c r="D61" s="2"/>
      <c r="E61" s="6"/>
      <c r="F61" s="6"/>
      <c r="G61" s="6"/>
      <c r="H61" s="26"/>
      <c r="I61" s="26"/>
      <c r="J61" s="26"/>
      <c r="K61" s="26"/>
      <c r="L61" s="26"/>
      <c r="M61" s="26"/>
    </row>
    <row r="62" spans="1:13" ht="12" customHeight="1">
      <c r="A62" s="6"/>
      <c r="B62" s="26"/>
      <c r="C62" s="26"/>
      <c r="D62" s="26"/>
      <c r="E62" s="6"/>
      <c r="F62" s="6"/>
      <c r="G62" s="6"/>
      <c r="H62" s="26"/>
      <c r="I62" s="26"/>
      <c r="J62" s="26"/>
      <c r="K62" s="26"/>
      <c r="L62" s="26"/>
      <c r="M62" s="26"/>
    </row>
    <row r="63" spans="1:13" ht="12" customHeight="1">
      <c r="A63" s="26"/>
      <c r="B63" s="26"/>
      <c r="C63" s="26"/>
      <c r="D63" s="26"/>
      <c r="E63" s="6"/>
      <c r="F63" s="6"/>
      <c r="G63" s="6"/>
      <c r="H63" s="26"/>
      <c r="I63" s="26"/>
      <c r="J63" s="26"/>
      <c r="K63" s="26"/>
      <c r="L63" s="26"/>
      <c r="M63" s="26"/>
    </row>
    <row r="64" spans="1:13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</sheetData>
  <sheetProtection password="BBAF" sheet="1"/>
  <mergeCells count="5">
    <mergeCell ref="B30:C33"/>
    <mergeCell ref="B1:C2"/>
    <mergeCell ref="F1:G2"/>
    <mergeCell ref="B3:C4"/>
    <mergeCell ref="B14:C15"/>
  </mergeCells>
  <conditionalFormatting sqref="H4">
    <cfRule type="expression" priority="3" dxfId="10" stopIfTrue="1">
      <formula>$C$8="Hier klicken und auswählen"</formula>
    </cfRule>
    <cfRule type="expression" priority="4" dxfId="7" stopIfTrue="1">
      <formula>C8&lt;&gt;"Hierklicken und auswählen"</formula>
    </cfRule>
  </conditionalFormatting>
  <conditionalFormatting sqref="H10">
    <cfRule type="expression" priority="5" dxfId="8" stopIfTrue="1">
      <formula>$C$8="Hier klicken und auswählen"</formula>
    </cfRule>
    <cfRule type="expression" priority="6" dxfId="7" stopIfTrue="1">
      <formula>C16&lt;&gt;"Hierklicken und auswählen"</formula>
    </cfRule>
  </conditionalFormatting>
  <conditionalFormatting sqref="G19:G20">
    <cfRule type="expression" priority="7" dxfId="6" stopIfTrue="1">
      <formula>$G$19&gt;0</formula>
    </cfRule>
    <cfRule type="expression" priority="8" dxfId="5" stopIfTrue="1">
      <formula>$G$19&lt;0</formula>
    </cfRule>
  </conditionalFormatting>
  <conditionalFormatting sqref="C38:C39">
    <cfRule type="expression" priority="10" dxfId="2" stopIfTrue="1">
      <formula>$C$41&lt;&gt;""</formula>
    </cfRule>
  </conditionalFormatting>
  <conditionalFormatting sqref="G10">
    <cfRule type="expression" priority="12" dxfId="3" stopIfTrue="1">
      <formula>$G$10="Fehler"</formula>
    </cfRule>
  </conditionalFormatting>
  <conditionalFormatting sqref="C26">
    <cfRule type="expression" priority="13" dxfId="2" stopIfTrue="1">
      <formula>C28&lt;&gt;""</formula>
    </cfRule>
  </conditionalFormatting>
  <conditionalFormatting sqref="C51">
    <cfRule type="expression" priority="2" dxfId="1" stopIfTrue="1">
      <formula>$C$58&lt;&gt;""</formula>
    </cfRule>
  </conditionalFormatting>
  <conditionalFormatting sqref="C47:C48">
    <cfRule type="expression" priority="1" dxfId="0" stopIfTrue="1">
      <formula>$C$51&lt;&gt;""</formula>
    </cfRule>
  </conditionalFormatting>
  <dataValidations count="3">
    <dataValidation type="list" allowBlank="1" showInputMessage="1" showErrorMessage="1" sqref="C44">
      <formula1>Transporteinheiten_2</formula1>
    </dataValidation>
    <dataValidation type="list" allowBlank="1" showInputMessage="1" showErrorMessage="1" sqref="C8">
      <formula1>Vollbaumernter</formula1>
    </dataValidation>
    <dataValidation type="list" allowBlank="1" showInputMessage="1" showErrorMessage="1" sqref="C18">
      <formula1>Stammdurchmesser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3" max="3" width="15.8515625" style="0" customWidth="1"/>
    <col min="4" max="4" width="13.8515625" style="8" customWidth="1"/>
    <col min="5" max="5" width="17.7109375" style="0" customWidth="1"/>
    <col min="6" max="6" width="19.421875" style="8" customWidth="1"/>
    <col min="7" max="7" width="25.8515625" style="0" customWidth="1"/>
  </cols>
  <sheetData>
    <row r="1" spans="4:6" ht="12.75">
      <c r="D1"/>
      <c r="E1" s="8"/>
      <c r="F1"/>
    </row>
    <row r="2" spans="4:6" ht="12.75">
      <c r="D2"/>
      <c r="E2" s="8"/>
      <c r="F2"/>
    </row>
    <row r="3" spans="2:6" ht="12.75">
      <c r="B3" t="s">
        <v>125</v>
      </c>
      <c r="C3" s="8" t="s">
        <v>81</v>
      </c>
      <c r="D3" s="8" t="s">
        <v>243</v>
      </c>
      <c r="E3" s="8" t="s">
        <v>86</v>
      </c>
      <c r="F3" s="8" t="s">
        <v>188</v>
      </c>
    </row>
    <row r="4" spans="1:11" ht="12.75">
      <c r="A4" s="1"/>
      <c r="B4" s="9" t="s">
        <v>37</v>
      </c>
      <c r="C4" s="9" t="s">
        <v>244</v>
      </c>
      <c r="D4" s="9" t="s">
        <v>108</v>
      </c>
      <c r="E4" s="9" t="s">
        <v>79</v>
      </c>
      <c r="F4" s="9" t="s">
        <v>187</v>
      </c>
      <c r="G4" s="1"/>
      <c r="H4" s="1"/>
      <c r="I4" s="1"/>
      <c r="J4" s="1"/>
      <c r="K4" s="1"/>
    </row>
    <row r="5" spans="2:6" ht="12.75">
      <c r="B5" s="15">
        <f>IF(Ertragsschätzung!$C$11="",(Ertragsschätzung!$C$5-Ertragsschätzung!$C$6)*(Ertragsschätzung!$C$7-Ertragsschätzung!$C$8)/10000,Ertragsschätzung!$C$11)</f>
        <v>1.656</v>
      </c>
      <c r="C5" s="27">
        <f>Wahl_des_Triebalters</f>
        <v>3</v>
      </c>
      <c r="D5" s="202">
        <f>IF(Wahl_der_Baumart="Weide",LOOKUP(1,1/(Bodenqualität=Wahl_der_Bodenqualität),Weide),IF(Wahl_der_Baumart="Pappel",LOOKUP(1,1/(Bodenqualität=Wahl_der_Bodenqualität),Pappel),IF(Wahl_der_Baumart="Robinie",LOOKUP(1,1/(Bodenqualität=Wahl_der_Bodenqualität),Robinie))))</f>
        <v>7.5</v>
      </c>
      <c r="E5" s="184">
        <f>B5*C5*D5</f>
        <v>37.26</v>
      </c>
      <c r="F5" s="184">
        <f>E5/B5</f>
        <v>22.5</v>
      </c>
    </row>
    <row r="6" spans="2:6" ht="12.75">
      <c r="B6" s="14"/>
      <c r="C6" s="21"/>
      <c r="D6" s="25"/>
      <c r="E6" s="25"/>
      <c r="F6" s="16"/>
    </row>
    <row r="8" spans="2:6" ht="12.75">
      <c r="B8" s="208" t="s">
        <v>2</v>
      </c>
      <c r="C8" s="150" t="s">
        <v>14</v>
      </c>
      <c r="D8" s="203" t="s">
        <v>13</v>
      </c>
      <c r="E8" s="203" t="s">
        <v>15</v>
      </c>
      <c r="F8"/>
    </row>
    <row r="9" spans="2:6" ht="12.75">
      <c r="B9" s="209"/>
      <c r="C9" s="207" t="s">
        <v>108</v>
      </c>
      <c r="D9" s="207" t="s">
        <v>108</v>
      </c>
      <c r="E9" s="207" t="s">
        <v>108</v>
      </c>
      <c r="F9"/>
    </row>
    <row r="10" spans="2:6" ht="12.75">
      <c r="B10" s="210" t="s">
        <v>83</v>
      </c>
      <c r="C10" s="146">
        <v>2</v>
      </c>
      <c r="D10" s="139">
        <v>1.5</v>
      </c>
      <c r="E10" s="139">
        <v>1</v>
      </c>
      <c r="F10"/>
    </row>
    <row r="11" spans="2:6" ht="12.75">
      <c r="B11" s="210" t="s">
        <v>20</v>
      </c>
      <c r="C11" s="146">
        <v>4.5</v>
      </c>
      <c r="D11" s="139">
        <v>3</v>
      </c>
      <c r="E11" s="139">
        <f>C11*0.5</f>
        <v>2.25</v>
      </c>
      <c r="F11"/>
    </row>
    <row r="12" spans="2:6" ht="12.75">
      <c r="B12" s="210" t="s">
        <v>21</v>
      </c>
      <c r="C12" s="146">
        <v>7.7</v>
      </c>
      <c r="D12" s="139">
        <v>5</v>
      </c>
      <c r="E12" s="139">
        <v>3.8</v>
      </c>
      <c r="F12"/>
    </row>
    <row r="13" spans="2:6" ht="12.75">
      <c r="B13" s="210" t="s">
        <v>22</v>
      </c>
      <c r="C13" s="146">
        <v>10.5</v>
      </c>
      <c r="D13" s="140">
        <v>7.5</v>
      </c>
      <c r="E13" s="139">
        <v>5</v>
      </c>
      <c r="F13"/>
    </row>
    <row r="14" spans="1:6" ht="12.75">
      <c r="A14" s="93"/>
      <c r="B14" s="210" t="s">
        <v>82</v>
      </c>
      <c r="C14" s="146">
        <v>14</v>
      </c>
      <c r="D14" s="139">
        <v>10</v>
      </c>
      <c r="E14" s="139">
        <v>7</v>
      </c>
      <c r="F14"/>
    </row>
    <row r="15" spans="2:6" ht="12.75">
      <c r="B15" s="14"/>
      <c r="C15" s="21"/>
      <c r="D15" s="25"/>
      <c r="E15" s="25"/>
      <c r="F15"/>
    </row>
    <row r="16" spans="2:7" ht="12.75">
      <c r="B16" s="211"/>
      <c r="C16" s="212"/>
      <c r="D16" s="147"/>
      <c r="E16" s="147"/>
      <c r="F16" s="213"/>
      <c r="G16" s="213"/>
    </row>
    <row r="17" spans="1:7" ht="12.75">
      <c r="A17" s="93"/>
      <c r="B17" s="213"/>
      <c r="C17" s="213"/>
      <c r="D17" s="147"/>
      <c r="E17" s="213"/>
      <c r="F17" s="147"/>
      <c r="G17" s="213"/>
    </row>
    <row r="18" spans="2:7" ht="12.75">
      <c r="B18" s="213"/>
      <c r="C18" s="147"/>
      <c r="D18" s="147"/>
      <c r="E18" s="213"/>
      <c r="F18" s="147"/>
      <c r="G18" s="213"/>
    </row>
    <row r="19" spans="2:7" ht="12.75">
      <c r="B19" s="213"/>
      <c r="C19" s="147"/>
      <c r="D19" s="147"/>
      <c r="E19" s="213"/>
      <c r="F19" s="147"/>
      <c r="G19" s="213"/>
    </row>
    <row r="20" spans="2:7" ht="12.75">
      <c r="B20" s="147"/>
      <c r="C20" s="147"/>
      <c r="D20" s="147"/>
      <c r="E20" s="213"/>
      <c r="F20" s="147"/>
      <c r="G20" s="213"/>
    </row>
    <row r="21" spans="2:7" ht="12.75">
      <c r="B21" s="214"/>
      <c r="C21" s="147"/>
      <c r="D21" s="147"/>
      <c r="E21" s="213"/>
      <c r="F21" s="147"/>
      <c r="G21" s="213"/>
    </row>
    <row r="22" spans="2:7" ht="12.75">
      <c r="B22" s="147"/>
      <c r="C22" s="147"/>
      <c r="D22" s="147"/>
      <c r="E22" s="213"/>
      <c r="F22" s="147"/>
      <c r="G22" s="213"/>
    </row>
    <row r="23" spans="2:7" ht="12.75">
      <c r="B23" s="213"/>
      <c r="C23" s="147"/>
      <c r="D23" s="147"/>
      <c r="E23" s="213"/>
      <c r="F23" s="147"/>
      <c r="G23" s="213"/>
    </row>
    <row r="24" spans="2:7" ht="12.75">
      <c r="B24" s="213"/>
      <c r="C24" s="147"/>
      <c r="D24" s="147"/>
      <c r="E24" s="147"/>
      <c r="F24" s="147"/>
      <c r="G24" s="213"/>
    </row>
    <row r="25" spans="2:7" ht="12.75">
      <c r="B25" s="147"/>
      <c r="C25" s="147"/>
      <c r="D25" s="147"/>
      <c r="E25" s="147"/>
      <c r="F25" s="147"/>
      <c r="G25" s="213"/>
    </row>
    <row r="26" spans="2:7" ht="12.75">
      <c r="B26" s="147"/>
      <c r="C26" s="147"/>
      <c r="D26" s="147"/>
      <c r="E26" s="147"/>
      <c r="F26" s="147"/>
      <c r="G26" s="213"/>
    </row>
    <row r="27" spans="2:7" ht="12.75">
      <c r="B27" s="147"/>
      <c r="C27" s="147"/>
      <c r="D27" s="147"/>
      <c r="E27" s="147"/>
      <c r="F27" s="147"/>
      <c r="G27" s="213"/>
    </row>
    <row r="28" spans="2:7" ht="12.75">
      <c r="B28" s="147"/>
      <c r="C28" s="147"/>
      <c r="D28" s="147"/>
      <c r="E28" s="213"/>
      <c r="F28" s="147"/>
      <c r="G28" s="213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3:S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6.57421875" style="0" customWidth="1"/>
    <col min="3" max="3" width="27.7109375" style="0" customWidth="1"/>
    <col min="4" max="4" width="19.140625" style="0" customWidth="1"/>
    <col min="5" max="5" width="17.00390625" style="0" customWidth="1"/>
    <col min="6" max="6" width="15.421875" style="0" customWidth="1"/>
    <col min="7" max="7" width="18.7109375" style="0" customWidth="1"/>
    <col min="9" max="9" width="16.00390625" style="0" customWidth="1"/>
    <col min="10" max="10" width="13.00390625" style="0" customWidth="1"/>
  </cols>
  <sheetData>
    <row r="3" ht="20.25">
      <c r="A3" s="114" t="s">
        <v>146</v>
      </c>
    </row>
    <row r="5" ht="12.75">
      <c r="C5" s="16" t="s">
        <v>38</v>
      </c>
    </row>
    <row r="7" spans="4:9" ht="12.75">
      <c r="D7" s="8" t="s">
        <v>125</v>
      </c>
      <c r="E7" s="10" t="s">
        <v>39</v>
      </c>
      <c r="F7" s="8" t="s">
        <v>175</v>
      </c>
      <c r="G7" s="119" t="s">
        <v>46</v>
      </c>
      <c r="H7" s="17" t="s">
        <v>47</v>
      </c>
      <c r="I7" s="22" t="s">
        <v>297</v>
      </c>
    </row>
    <row r="8" spans="3:10" ht="12.75">
      <c r="C8" s="4" t="s">
        <v>24</v>
      </c>
      <c r="D8" s="9" t="s">
        <v>74</v>
      </c>
      <c r="E8" s="9" t="s">
        <v>40</v>
      </c>
      <c r="F8" s="9" t="s">
        <v>41</v>
      </c>
      <c r="G8" s="9" t="s">
        <v>45</v>
      </c>
      <c r="H8" s="9" t="s">
        <v>41</v>
      </c>
      <c r="I8" s="9" t="s">
        <v>72</v>
      </c>
      <c r="J8" s="1"/>
    </row>
    <row r="9" spans="3:10" ht="12.75">
      <c r="C9" s="23" t="s">
        <v>120</v>
      </c>
      <c r="D9" s="10"/>
      <c r="E9" s="10"/>
      <c r="F9" s="14"/>
      <c r="G9" s="10">
        <v>0</v>
      </c>
      <c r="H9" s="10">
        <v>0</v>
      </c>
      <c r="I9" s="10">
        <v>0</v>
      </c>
      <c r="J9" s="7"/>
    </row>
    <row r="10" spans="3:9" ht="12.75">
      <c r="C10" t="s">
        <v>25</v>
      </c>
      <c r="D10" s="15">
        <f>(Ertragsschätzung!$C$5-Ertragsschätzung!$C$6)*((Ertragsschätzung!$C$7-Ertragsschätzung!$C$8)/10000)</f>
        <v>1.656</v>
      </c>
      <c r="E10" s="15">
        <f>(Ertragsschätzung!$C$5-Ertragsschätzung!$C$6)*((Ertragsschätzung!$C$7-Ertragsschätzung!$C$8)/(Hackgutlinien!$C$37+Hackgutlinien!$C$40))/1000</f>
        <v>5.52</v>
      </c>
      <c r="F10" s="15">
        <f>(($E$10/G10)+(((Ertragsschätzung!$C$7-Ertragsschätzung!$C$8)/(Hackgutlinien!$C$37+Hackgutlinien!$C$40))*H10))*1.2</f>
        <v>2.408235294117647</v>
      </c>
      <c r="G10" s="139">
        <v>3.4</v>
      </c>
      <c r="H10" s="13">
        <f>45/60/60</f>
        <v>0.0125</v>
      </c>
      <c r="I10" s="8">
        <v>250</v>
      </c>
    </row>
    <row r="11" spans="3:9" ht="12.75">
      <c r="C11" t="s">
        <v>26</v>
      </c>
      <c r="D11" s="15"/>
      <c r="E11" s="15"/>
      <c r="F11" s="15">
        <f>(($E$10/G11)+(((Ertragsschätzung!$C$7-Ertragsschätzung!$C$8)/(Hackgutlinien!$C$37+Hackgutlinien!$C$40))*H11))*1.2</f>
        <v>2.25027027027027</v>
      </c>
      <c r="G11" s="140">
        <v>3.7</v>
      </c>
      <c r="H11" s="13">
        <f>45/60/60</f>
        <v>0.0125</v>
      </c>
      <c r="I11" s="8">
        <v>350</v>
      </c>
    </row>
    <row r="12" spans="3:9" ht="12.75">
      <c r="C12" t="s">
        <v>27</v>
      </c>
      <c r="D12" s="15"/>
      <c r="E12" s="15"/>
      <c r="F12" s="15">
        <f>(($E$10/G12)+(((Ertragsschätzung!$C$7-Ertragsschätzung!$C$8)/(Hackgutlinien!$C$37+Hackgutlinien!$C$40))*H12))*1.2</f>
        <v>2.25027027027027</v>
      </c>
      <c r="G12" s="140">
        <v>3.7</v>
      </c>
      <c r="H12" s="13">
        <f>45/60/60</f>
        <v>0.0125</v>
      </c>
      <c r="I12" s="8">
        <v>400</v>
      </c>
    </row>
    <row r="13" spans="3:9" ht="12.75">
      <c r="C13" t="s">
        <v>3</v>
      </c>
      <c r="D13" s="15"/>
      <c r="E13" s="15"/>
      <c r="F13" s="15">
        <f>(($E$10/G13)+(((Ertragsschätzung!$C$7-Ertragsschätzung!$C$8)/(Hackgutlinien!$C$37+Hackgutlinien!$C$40))*H13))*1.2</f>
        <v>4.356470588235294</v>
      </c>
      <c r="G13" s="140">
        <v>1.7</v>
      </c>
      <c r="H13" s="13">
        <f>45/60/60</f>
        <v>0.0125</v>
      </c>
      <c r="I13" s="8">
        <v>200</v>
      </c>
    </row>
    <row r="14" spans="3:9" ht="12.75">
      <c r="C14" t="s">
        <v>4</v>
      </c>
      <c r="D14" s="15"/>
      <c r="E14" s="15"/>
      <c r="F14" s="15">
        <f>(($E$10/G14)+(((Ertragsschätzung!$C$7-Ertragsschätzung!$C$8)/(Hackgutlinien!$C$37+Hackgutlinien!$C$40))*H14))*1.2</f>
        <v>3.6142857142857134</v>
      </c>
      <c r="G14" s="140">
        <v>2.1</v>
      </c>
      <c r="H14" s="13">
        <f>45/60/60</f>
        <v>0.0125</v>
      </c>
      <c r="I14" s="8">
        <v>135</v>
      </c>
    </row>
    <row r="15" spans="6:8" ht="12.75">
      <c r="F15" s="8"/>
      <c r="G15" s="18"/>
      <c r="H15" s="8"/>
    </row>
    <row r="16" spans="6:9" ht="12.75">
      <c r="F16" s="8"/>
      <c r="G16" s="18"/>
      <c r="H16" s="8"/>
      <c r="I16" s="86"/>
    </row>
    <row r="17" spans="6:9" ht="12.75">
      <c r="F17" s="8"/>
      <c r="G17" s="18"/>
      <c r="H17" s="8"/>
      <c r="I17" s="17"/>
    </row>
    <row r="18" ht="12.75">
      <c r="E18" s="8"/>
    </row>
    <row r="19" spans="3:5" ht="12.75">
      <c r="C19" s="66" t="s">
        <v>126</v>
      </c>
      <c r="E19" s="8"/>
    </row>
    <row r="20" spans="3:5" ht="12.75">
      <c r="C20" s="24"/>
      <c r="E20" s="8" t="s">
        <v>174</v>
      </c>
    </row>
    <row r="21" ht="12.75">
      <c r="E21" s="8" t="s">
        <v>177</v>
      </c>
    </row>
    <row r="22" spans="4:6" ht="12.75">
      <c r="D22" s="8" t="s">
        <v>125</v>
      </c>
      <c r="E22" s="10" t="s">
        <v>75</v>
      </c>
      <c r="F22" s="8" t="s">
        <v>176</v>
      </c>
    </row>
    <row r="23" spans="3:6" ht="12.75">
      <c r="C23" s="4" t="s">
        <v>24</v>
      </c>
      <c r="D23" s="9" t="s">
        <v>74</v>
      </c>
      <c r="E23" s="9" t="s">
        <v>279</v>
      </c>
      <c r="F23" s="9" t="s">
        <v>41</v>
      </c>
    </row>
    <row r="24" spans="3:6" ht="12.75">
      <c r="C24" s="23" t="s">
        <v>120</v>
      </c>
      <c r="D24" s="10"/>
      <c r="E24" s="10">
        <v>0</v>
      </c>
      <c r="F24" s="10"/>
    </row>
    <row r="25" spans="3:6" ht="12.75">
      <c r="C25" t="s">
        <v>25</v>
      </c>
      <c r="D25" s="15">
        <f>Ertragsschätzung!$C$11</f>
        <v>0</v>
      </c>
      <c r="E25" s="140">
        <v>0.665</v>
      </c>
      <c r="F25" s="15">
        <f>$D$25/E25</f>
        <v>0</v>
      </c>
    </row>
    <row r="26" spans="3:6" ht="12.75">
      <c r="C26" t="s">
        <v>26</v>
      </c>
      <c r="D26" s="8"/>
      <c r="E26" s="140">
        <v>0.705</v>
      </c>
      <c r="F26" s="15">
        <f>$D$25/E26</f>
        <v>0</v>
      </c>
    </row>
    <row r="27" spans="3:6" ht="12.75">
      <c r="C27" t="s">
        <v>27</v>
      </c>
      <c r="D27" s="8"/>
      <c r="E27" s="140">
        <v>0.705</v>
      </c>
      <c r="F27" s="15">
        <f>$D$25/E27</f>
        <v>0</v>
      </c>
    </row>
    <row r="28" spans="3:6" ht="12.75">
      <c r="C28" t="s">
        <v>3</v>
      </c>
      <c r="D28" s="8"/>
      <c r="E28" s="140">
        <v>0.397</v>
      </c>
      <c r="F28" s="15">
        <f>$D$25/E28</f>
        <v>0</v>
      </c>
    </row>
    <row r="29" spans="3:6" ht="12.75">
      <c r="C29" t="s">
        <v>4</v>
      </c>
      <c r="D29" s="8"/>
      <c r="E29" s="140">
        <v>0.484</v>
      </c>
      <c r="F29" s="15">
        <f>$D$25/E29</f>
        <v>0</v>
      </c>
    </row>
    <row r="30" spans="5:6" ht="12.75">
      <c r="E30" s="8"/>
      <c r="F30" s="120"/>
    </row>
    <row r="31" ht="12.75">
      <c r="E31" s="91"/>
    </row>
    <row r="32" ht="12.75">
      <c r="E32" s="8"/>
    </row>
    <row r="34" ht="20.25">
      <c r="A34" s="114" t="s">
        <v>283</v>
      </c>
    </row>
    <row r="36" ht="18">
      <c r="B36" s="65" t="s">
        <v>154</v>
      </c>
    </row>
    <row r="37" ht="12.75">
      <c r="E37" s="8" t="s">
        <v>177</v>
      </c>
    </row>
    <row r="38" spans="4:7" ht="12.75">
      <c r="D38" s="8" t="s">
        <v>125</v>
      </c>
      <c r="E38" s="10" t="s">
        <v>75</v>
      </c>
      <c r="F38" s="8" t="s">
        <v>178</v>
      </c>
      <c r="G38" s="22" t="s">
        <v>298</v>
      </c>
    </row>
    <row r="39" spans="3:19" ht="12.75">
      <c r="C39" s="4" t="s">
        <v>296</v>
      </c>
      <c r="D39" s="9" t="s">
        <v>74</v>
      </c>
      <c r="E39" s="9" t="s">
        <v>279</v>
      </c>
      <c r="F39" s="9" t="s">
        <v>41</v>
      </c>
      <c r="G39" s="9" t="s">
        <v>72</v>
      </c>
      <c r="H39" s="10"/>
      <c r="J39" s="70"/>
      <c r="K39" s="7"/>
      <c r="L39" s="7"/>
      <c r="M39" s="7"/>
      <c r="N39" s="7"/>
      <c r="O39" s="7"/>
      <c r="P39" s="7"/>
      <c r="Q39" s="7"/>
      <c r="R39" s="7"/>
      <c r="S39" s="7"/>
    </row>
    <row r="40" spans="3:19" ht="12.75">
      <c r="C40" t="s">
        <v>120</v>
      </c>
      <c r="D40" s="10"/>
      <c r="E40" s="10">
        <v>0</v>
      </c>
      <c r="F40" s="14"/>
      <c r="G40" s="10">
        <v>0</v>
      </c>
      <c r="H40" s="10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 ht="12.75">
      <c r="C41" t="s">
        <v>180</v>
      </c>
      <c r="D41" s="15">
        <f>(Ertragsschätzung!$C$5-Ertragsschätzung!$C$6)*((Ertragsschätzung!$C$7-Ertragsschätzung!$C$8)/10000)</f>
        <v>1.656</v>
      </c>
      <c r="E41" s="140">
        <v>0.02</v>
      </c>
      <c r="F41" s="15">
        <f>$D$41/E41</f>
        <v>82.8</v>
      </c>
      <c r="G41" s="145">
        <v>49</v>
      </c>
      <c r="H41" s="21"/>
      <c r="J41" s="115"/>
      <c r="K41" s="7"/>
      <c r="L41" s="10"/>
      <c r="M41" s="10"/>
      <c r="N41" s="10"/>
      <c r="O41" s="10"/>
      <c r="P41" s="7"/>
      <c r="Q41" s="7"/>
      <c r="R41" s="7"/>
      <c r="S41" s="7"/>
    </row>
    <row r="42" spans="3:19" ht="12.75">
      <c r="C42" t="s">
        <v>6</v>
      </c>
      <c r="D42" s="15"/>
      <c r="E42" s="140">
        <v>0.5</v>
      </c>
      <c r="F42" s="15">
        <f>$D$41/E42</f>
        <v>3.312</v>
      </c>
      <c r="G42" s="140">
        <v>200</v>
      </c>
      <c r="H42" s="8"/>
      <c r="J42" s="10"/>
      <c r="K42" s="7"/>
      <c r="L42" s="10"/>
      <c r="M42" s="10"/>
      <c r="N42" s="117"/>
      <c r="O42" s="142"/>
      <c r="P42" s="7"/>
      <c r="Q42" s="7"/>
      <c r="R42" s="7"/>
      <c r="S42" s="7"/>
    </row>
    <row r="43" spans="3:19" ht="12.75">
      <c r="C43" t="s">
        <v>241</v>
      </c>
      <c r="E43" s="140">
        <v>0.045</v>
      </c>
      <c r="F43" s="15">
        <f>$D$41/E43</f>
        <v>36.8</v>
      </c>
      <c r="G43" s="140">
        <v>80</v>
      </c>
      <c r="H43" s="141"/>
      <c r="J43" s="10"/>
      <c r="K43" s="7"/>
      <c r="L43" s="10"/>
      <c r="M43" s="10"/>
      <c r="N43" s="117"/>
      <c r="O43" s="142"/>
      <c r="P43" s="7"/>
      <c r="Q43" s="7"/>
      <c r="R43" s="7"/>
      <c r="S43" s="7"/>
    </row>
    <row r="44" spans="3:19" ht="12.75">
      <c r="C44" t="s">
        <v>242</v>
      </c>
      <c r="E44" s="144">
        <v>0.04</v>
      </c>
      <c r="F44" s="15">
        <f>$D$41/E44</f>
        <v>41.4</v>
      </c>
      <c r="G44" s="140">
        <v>80</v>
      </c>
      <c r="H44" s="141"/>
      <c r="J44" s="10"/>
      <c r="K44" s="7"/>
      <c r="L44" s="7"/>
      <c r="M44" s="7"/>
      <c r="N44" s="117"/>
      <c r="O44" s="142"/>
      <c r="P44" s="7"/>
      <c r="Q44" s="7"/>
      <c r="R44" s="7"/>
      <c r="S44" s="7"/>
    </row>
    <row r="45" spans="3:19" ht="12.75">
      <c r="C45" s="187" t="s">
        <v>135</v>
      </c>
      <c r="E45" s="140">
        <v>0.05</v>
      </c>
      <c r="F45" s="15">
        <f>$D$41/E45</f>
        <v>33.12</v>
      </c>
      <c r="G45" s="140">
        <v>90</v>
      </c>
      <c r="H45" s="8"/>
      <c r="J45" s="10"/>
      <c r="K45" s="7"/>
      <c r="L45" s="10"/>
      <c r="M45" s="10"/>
      <c r="N45" s="117"/>
      <c r="O45" s="142"/>
      <c r="P45" s="7"/>
      <c r="Q45" s="7"/>
      <c r="R45" s="7"/>
      <c r="S45" s="7"/>
    </row>
    <row r="46" spans="7:19" ht="12.75">
      <c r="G46" s="18"/>
      <c r="J46" s="10"/>
      <c r="K46" s="7"/>
      <c r="L46" s="10"/>
      <c r="M46" s="10"/>
      <c r="N46" s="117"/>
      <c r="O46" s="142"/>
      <c r="P46" s="7"/>
      <c r="Q46" s="7"/>
      <c r="R46" s="7"/>
      <c r="S46" s="7"/>
    </row>
    <row r="47" spans="10:19" ht="12.75">
      <c r="J47" s="10"/>
      <c r="K47" s="7"/>
      <c r="L47" s="10"/>
      <c r="M47" s="10"/>
      <c r="N47" s="117"/>
      <c r="O47" s="142"/>
      <c r="P47" s="7"/>
      <c r="Q47" s="7"/>
      <c r="R47" s="7"/>
      <c r="S47" s="7"/>
    </row>
    <row r="48" spans="3:19" ht="12.75">
      <c r="C48" s="66" t="s">
        <v>126</v>
      </c>
      <c r="J48" s="10"/>
      <c r="K48" s="7"/>
      <c r="L48" s="10"/>
      <c r="M48" s="118"/>
      <c r="N48" s="117"/>
      <c r="O48" s="142"/>
      <c r="P48" s="7"/>
      <c r="Q48" s="7"/>
      <c r="R48" s="7"/>
      <c r="S48" s="7"/>
    </row>
    <row r="49" spans="10:19" ht="12.75">
      <c r="J49" s="10"/>
      <c r="K49" s="7"/>
      <c r="L49" s="10"/>
      <c r="M49" s="10"/>
      <c r="N49" s="117"/>
      <c r="O49" s="142"/>
      <c r="P49" s="7"/>
      <c r="Q49" s="7"/>
      <c r="R49" s="7"/>
      <c r="S49" s="7"/>
    </row>
    <row r="50" spans="5:19" ht="12.75">
      <c r="E50" s="8" t="s">
        <v>177</v>
      </c>
      <c r="J50" s="10"/>
      <c r="K50" s="7"/>
      <c r="L50" s="10"/>
      <c r="M50" s="10"/>
      <c r="N50" s="117"/>
      <c r="O50" s="142"/>
      <c r="P50" s="7"/>
      <c r="Q50" s="7"/>
      <c r="R50" s="7"/>
      <c r="S50" s="7"/>
    </row>
    <row r="51" spans="4:19" ht="12.75">
      <c r="D51" s="8" t="s">
        <v>125</v>
      </c>
      <c r="E51" s="10" t="s">
        <v>75</v>
      </c>
      <c r="F51" s="8" t="s">
        <v>179</v>
      </c>
      <c r="J51" s="10"/>
      <c r="K51" s="7"/>
      <c r="L51" s="7"/>
      <c r="M51" s="7"/>
      <c r="N51" s="7"/>
      <c r="O51" s="10"/>
      <c r="P51" s="7"/>
      <c r="Q51" s="7"/>
      <c r="R51" s="7"/>
      <c r="S51" s="7"/>
    </row>
    <row r="52" spans="3:19" ht="12.75">
      <c r="C52" s="4" t="s">
        <v>296</v>
      </c>
      <c r="D52" s="9" t="s">
        <v>74</v>
      </c>
      <c r="E52" s="9" t="s">
        <v>279</v>
      </c>
      <c r="F52" s="9" t="s">
        <v>41</v>
      </c>
      <c r="J52" s="10"/>
      <c r="K52" s="7"/>
      <c r="L52" s="7"/>
      <c r="M52" s="7"/>
      <c r="N52" s="7"/>
      <c r="O52" s="10"/>
      <c r="P52" s="7"/>
      <c r="Q52" s="7"/>
      <c r="R52" s="7"/>
      <c r="S52" s="7"/>
    </row>
    <row r="53" spans="3:19" ht="12.75">
      <c r="C53" t="s">
        <v>120</v>
      </c>
      <c r="D53" s="10"/>
      <c r="E53" s="10">
        <v>0</v>
      </c>
      <c r="F53" s="14"/>
      <c r="J53" s="10"/>
      <c r="K53" s="7"/>
      <c r="L53" s="10"/>
      <c r="M53" s="7"/>
      <c r="N53" s="7"/>
      <c r="O53" s="10"/>
      <c r="P53" s="10"/>
      <c r="Q53" s="7"/>
      <c r="R53" s="7"/>
      <c r="S53" s="7"/>
    </row>
    <row r="54" spans="3:19" ht="12.75">
      <c r="C54" t="s">
        <v>180</v>
      </c>
      <c r="D54" s="15">
        <f>Ertragsschätzung!$C$11</f>
        <v>0</v>
      </c>
      <c r="E54" s="140">
        <v>0.02</v>
      </c>
      <c r="F54" s="15">
        <f>$D$54/E54</f>
        <v>0</v>
      </c>
      <c r="H54" s="7"/>
      <c r="I54" s="7"/>
      <c r="J54" s="10"/>
      <c r="K54" s="7"/>
      <c r="L54" s="10"/>
      <c r="M54" s="7"/>
      <c r="N54" s="7"/>
      <c r="O54" s="10"/>
      <c r="P54" s="7"/>
      <c r="Q54" s="7"/>
      <c r="R54" s="7"/>
      <c r="S54" s="7"/>
    </row>
    <row r="55" spans="3:19" ht="12.75">
      <c r="C55" t="s">
        <v>6</v>
      </c>
      <c r="E55" s="140">
        <v>0.5</v>
      </c>
      <c r="F55" s="15">
        <f>$D$54/E55</f>
        <v>0</v>
      </c>
      <c r="H55" s="7"/>
      <c r="I55" s="7"/>
      <c r="J55" s="10"/>
      <c r="K55" s="7"/>
      <c r="L55" s="10"/>
      <c r="M55" s="10"/>
      <c r="N55" s="117"/>
      <c r="O55" s="10"/>
      <c r="P55" s="7"/>
      <c r="Q55" s="7"/>
      <c r="R55" s="7"/>
      <c r="S55" s="7"/>
    </row>
    <row r="56" spans="3:19" ht="12.75">
      <c r="C56" t="s">
        <v>241</v>
      </c>
      <c r="E56" s="140">
        <v>0.045</v>
      </c>
      <c r="F56" s="15">
        <f>$D$54/E56</f>
        <v>0</v>
      </c>
      <c r="H56" s="7"/>
      <c r="I56" s="7"/>
      <c r="J56" s="10"/>
      <c r="K56" s="7"/>
      <c r="L56" s="10"/>
      <c r="M56" s="10"/>
      <c r="N56" s="7"/>
      <c r="O56" s="10"/>
      <c r="P56" s="7"/>
      <c r="Q56" s="7"/>
      <c r="R56" s="7"/>
      <c r="S56" s="7"/>
    </row>
    <row r="57" spans="3:19" ht="12.75">
      <c r="C57" t="s">
        <v>242</v>
      </c>
      <c r="E57" s="144">
        <v>0.04</v>
      </c>
      <c r="F57" s="15">
        <f>$D$54/E57</f>
        <v>0</v>
      </c>
      <c r="H57" s="7"/>
      <c r="I57" s="7"/>
      <c r="J57" s="10"/>
      <c r="K57" s="142"/>
      <c r="L57" s="10"/>
      <c r="M57" s="7"/>
      <c r="N57" s="7"/>
      <c r="O57" s="10"/>
      <c r="P57" s="7"/>
      <c r="Q57" s="7"/>
      <c r="R57" s="7"/>
      <c r="S57" s="7"/>
    </row>
    <row r="58" spans="3:19" ht="12.75">
      <c r="C58" s="187" t="s">
        <v>135</v>
      </c>
      <c r="E58" s="140">
        <v>0.05</v>
      </c>
      <c r="F58" s="15">
        <f>$D$54/E58</f>
        <v>0</v>
      </c>
      <c r="H58" s="7"/>
      <c r="I58" s="7"/>
      <c r="J58" s="10"/>
      <c r="K58" s="7"/>
      <c r="L58" s="10"/>
      <c r="M58" s="7"/>
      <c r="N58" s="7"/>
      <c r="O58" s="7"/>
      <c r="P58" s="7"/>
      <c r="Q58" s="7"/>
      <c r="R58" s="7"/>
      <c r="S58" s="7"/>
    </row>
    <row r="59" spans="10:19" ht="12.75">
      <c r="J59" s="10"/>
      <c r="K59" s="7"/>
      <c r="L59" s="10"/>
      <c r="M59" s="7"/>
      <c r="N59" s="7"/>
      <c r="O59" s="10"/>
      <c r="P59" s="10"/>
      <c r="Q59" s="10"/>
      <c r="R59" s="10"/>
      <c r="S59" s="7"/>
    </row>
    <row r="60" spans="10:19" ht="12.75">
      <c r="J60" s="10"/>
      <c r="K60" s="7"/>
      <c r="L60" s="10"/>
      <c r="M60" s="10"/>
      <c r="N60" s="117"/>
      <c r="O60" s="143"/>
      <c r="P60" s="10"/>
      <c r="Q60" s="10"/>
      <c r="R60" s="10"/>
      <c r="S60" s="142"/>
    </row>
    <row r="61" spans="2:19" ht="18">
      <c r="B61" s="65" t="s">
        <v>155</v>
      </c>
      <c r="C61" s="188"/>
      <c r="D61" s="188"/>
      <c r="E61" s="188"/>
      <c r="F61" s="188"/>
      <c r="J61" s="10"/>
      <c r="K61" s="7"/>
      <c r="L61" s="10"/>
      <c r="M61" s="10"/>
      <c r="N61" s="117"/>
      <c r="O61" s="10"/>
      <c r="P61" s="10"/>
      <c r="Q61" s="10"/>
      <c r="R61" s="10"/>
      <c r="S61" s="142"/>
    </row>
    <row r="62" spans="2:19" ht="12.75">
      <c r="B62" s="188"/>
      <c r="C62" s="188"/>
      <c r="D62" s="189" t="s">
        <v>275</v>
      </c>
      <c r="E62" s="190" t="s">
        <v>185</v>
      </c>
      <c r="F62" s="190" t="s">
        <v>185</v>
      </c>
      <c r="J62" s="10"/>
      <c r="K62" s="7"/>
      <c r="L62" s="10"/>
      <c r="M62" s="10"/>
      <c r="N62" s="117"/>
      <c r="O62" s="10"/>
      <c r="P62" s="10"/>
      <c r="Q62" s="10"/>
      <c r="R62" s="10"/>
      <c r="S62" s="142"/>
    </row>
    <row r="63" spans="2:19" ht="12.75">
      <c r="B63" s="188"/>
      <c r="C63" s="191" t="s">
        <v>156</v>
      </c>
      <c r="D63" s="192" t="s">
        <v>278</v>
      </c>
      <c r="E63" s="192" t="s">
        <v>60</v>
      </c>
      <c r="F63" s="192" t="s">
        <v>41</v>
      </c>
      <c r="J63" s="10"/>
      <c r="K63" s="7"/>
      <c r="L63" s="10"/>
      <c r="M63" s="10"/>
      <c r="N63" s="117"/>
      <c r="O63" s="117"/>
      <c r="P63" s="10"/>
      <c r="Q63" s="10"/>
      <c r="R63" s="10"/>
      <c r="S63" s="142"/>
    </row>
    <row r="64" spans="2:19" ht="12.75">
      <c r="B64" s="188"/>
      <c r="C64" s="159">
        <f>IF(Ertragsschätzung!C27&lt;&gt;"",Ertragsschätzung!C27,Ertragsschätzung!C23)</f>
        <v>264.546</v>
      </c>
      <c r="D64" s="139">
        <v>0.8</v>
      </c>
      <c r="E64" s="139">
        <f>C64/D64</f>
        <v>330.68249999999995</v>
      </c>
      <c r="F64" s="139">
        <f>E64/60</f>
        <v>5.511374999999999</v>
      </c>
      <c r="J64" s="10"/>
      <c r="K64" s="7"/>
      <c r="L64" s="10"/>
      <c r="M64" s="10"/>
      <c r="N64" s="117"/>
      <c r="O64" s="117"/>
      <c r="P64" s="10"/>
      <c r="Q64" s="10"/>
      <c r="R64" s="10"/>
      <c r="S64" s="142"/>
    </row>
    <row r="65" spans="2:19" ht="12.75">
      <c r="B65" s="188"/>
      <c r="C65" s="188"/>
      <c r="D65" s="140"/>
      <c r="E65" s="188"/>
      <c r="F65" s="188"/>
      <c r="J65" s="10"/>
      <c r="K65" s="7"/>
      <c r="L65" s="10"/>
      <c r="M65" s="10"/>
      <c r="N65" s="117"/>
      <c r="O65" s="7"/>
      <c r="P65" s="10"/>
      <c r="Q65" s="10"/>
      <c r="R65" s="10"/>
      <c r="S65" s="7"/>
    </row>
    <row r="66" spans="3:19" ht="12.75">
      <c r="C66" s="93"/>
      <c r="D66" s="93"/>
      <c r="E66" s="93"/>
      <c r="F66" s="93"/>
      <c r="I66" s="15"/>
      <c r="J66" s="117"/>
      <c r="K66" s="7"/>
      <c r="L66" s="7"/>
      <c r="M66" s="7"/>
      <c r="N66" s="7"/>
      <c r="O66" s="7"/>
      <c r="P66" s="7"/>
      <c r="Q66" s="7"/>
      <c r="R66" s="7"/>
      <c r="S66" s="7"/>
    </row>
    <row r="67" spans="10:19" ht="12.75">
      <c r="J67" s="10"/>
      <c r="K67" s="7"/>
      <c r="L67" s="7"/>
      <c r="M67" s="7"/>
      <c r="N67" s="7"/>
      <c r="O67" s="7"/>
      <c r="P67" s="7"/>
      <c r="Q67" s="7"/>
      <c r="R67" s="7"/>
      <c r="S67" s="7"/>
    </row>
    <row r="68" spans="10:19" ht="12.75">
      <c r="J68" s="10"/>
      <c r="K68" s="7"/>
      <c r="L68" s="7"/>
      <c r="M68" s="7"/>
      <c r="N68" s="7"/>
      <c r="O68" s="7"/>
      <c r="P68" s="7"/>
      <c r="Q68" s="7"/>
      <c r="R68" s="7"/>
      <c r="S68" s="7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T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.7109375" style="0" customWidth="1"/>
    <col min="3" max="3" width="40.140625" style="0" customWidth="1"/>
    <col min="4" max="4" width="20.00390625" style="0" customWidth="1"/>
    <col min="5" max="6" width="17.57421875" style="0" customWidth="1"/>
    <col min="7" max="7" width="15.57421875" style="0" customWidth="1"/>
    <col min="8" max="8" width="12.8515625" style="0" customWidth="1"/>
    <col min="10" max="10" width="11.28125" style="0" customWidth="1"/>
    <col min="11" max="12" width="17.28125" style="0" customWidth="1"/>
    <col min="13" max="13" width="13.57421875" style="0" customWidth="1"/>
    <col min="14" max="14" width="11.57421875" style="0" customWidth="1"/>
    <col min="16" max="16" width="21.57421875" style="0" customWidth="1"/>
    <col min="17" max="17" width="19.00390625" style="0" customWidth="1"/>
  </cols>
  <sheetData>
    <row r="2" spans="4:7" ht="12.75">
      <c r="D2" s="10" t="s">
        <v>54</v>
      </c>
      <c r="E2" s="10" t="s">
        <v>54</v>
      </c>
      <c r="F2" s="10" t="s">
        <v>48</v>
      </c>
      <c r="G2" s="10" t="s">
        <v>48</v>
      </c>
    </row>
    <row r="3" spans="4:7" ht="12.75">
      <c r="D3" s="10" t="s">
        <v>56</v>
      </c>
      <c r="E3" s="10" t="s">
        <v>55</v>
      </c>
      <c r="F3" s="10" t="s">
        <v>56</v>
      </c>
      <c r="G3" s="10" t="s">
        <v>57</v>
      </c>
    </row>
    <row r="4" spans="3:7" ht="12.75">
      <c r="C4" s="1"/>
      <c r="D4" s="9" t="s">
        <v>45</v>
      </c>
      <c r="E4" s="9" t="s">
        <v>45</v>
      </c>
      <c r="F4" s="9" t="s">
        <v>45</v>
      </c>
      <c r="G4" s="9" t="s">
        <v>45</v>
      </c>
    </row>
    <row r="5" spans="3:7" ht="12.75">
      <c r="C5" t="s">
        <v>58</v>
      </c>
      <c r="D5" s="8">
        <v>15</v>
      </c>
      <c r="E5" s="8">
        <v>20</v>
      </c>
      <c r="F5" s="8">
        <v>28</v>
      </c>
      <c r="G5" s="8">
        <v>30</v>
      </c>
    </row>
    <row r="6" spans="3:7" ht="12.75">
      <c r="C6" t="s">
        <v>59</v>
      </c>
      <c r="D6" s="8">
        <v>15</v>
      </c>
      <c r="E6" s="8">
        <v>20</v>
      </c>
      <c r="F6" s="8">
        <v>45</v>
      </c>
      <c r="G6" s="8">
        <v>50</v>
      </c>
    </row>
    <row r="7" spans="4:7" ht="12.75">
      <c r="D7" s="8"/>
      <c r="E7" s="8"/>
      <c r="F7" s="8"/>
      <c r="G7" s="8"/>
    </row>
    <row r="8" spans="4:7" ht="12.75">
      <c r="D8" s="8"/>
      <c r="E8" s="8"/>
      <c r="F8" s="8"/>
      <c r="G8" s="8"/>
    </row>
    <row r="9" spans="1:7" ht="20.25">
      <c r="A9" s="114" t="s">
        <v>146</v>
      </c>
      <c r="B9" s="114"/>
      <c r="D9" s="8"/>
      <c r="E9" s="8"/>
      <c r="F9" s="8"/>
      <c r="G9" s="8"/>
    </row>
    <row r="10" spans="4:7" ht="12.75">
      <c r="D10" s="8"/>
      <c r="E10" s="8"/>
      <c r="F10" s="8"/>
      <c r="G10" s="8"/>
    </row>
    <row r="11" spans="2:8" ht="18">
      <c r="B11" s="65" t="s">
        <v>274</v>
      </c>
      <c r="D11" s="8"/>
      <c r="E11" s="8"/>
      <c r="F11" s="8"/>
      <c r="G11" s="8"/>
      <c r="H11" s="8"/>
    </row>
    <row r="12" spans="6:13" ht="12.75">
      <c r="F12" s="8"/>
      <c r="G12" s="8"/>
      <c r="M12" s="24"/>
    </row>
    <row r="13" spans="4:14" ht="12.75">
      <c r="D13" s="10"/>
      <c r="E13" s="10"/>
      <c r="F13" s="8"/>
      <c r="G13" s="8"/>
      <c r="H13" s="8"/>
      <c r="I13" s="8"/>
      <c r="J13" s="147" t="s">
        <v>172</v>
      </c>
      <c r="K13" s="137" t="s">
        <v>171</v>
      </c>
      <c r="L13" s="137"/>
      <c r="M13" s="8" t="s">
        <v>149</v>
      </c>
      <c r="N13" s="16" t="s">
        <v>149</v>
      </c>
    </row>
    <row r="14" spans="4:16" ht="12.75">
      <c r="D14" s="10" t="s">
        <v>54</v>
      </c>
      <c r="E14" s="10" t="s">
        <v>48</v>
      </c>
      <c r="F14" s="137" t="s">
        <v>148</v>
      </c>
      <c r="G14" s="10" t="s">
        <v>148</v>
      </c>
      <c r="H14" s="10" t="s">
        <v>49</v>
      </c>
      <c r="I14" s="10" t="s">
        <v>50</v>
      </c>
      <c r="J14" s="148" t="s">
        <v>51</v>
      </c>
      <c r="K14" s="138" t="s">
        <v>51</v>
      </c>
      <c r="L14" s="158" t="s">
        <v>186</v>
      </c>
      <c r="M14" s="20" t="s">
        <v>61</v>
      </c>
      <c r="N14" s="122" t="s">
        <v>150</v>
      </c>
      <c r="O14" s="20" t="s">
        <v>93</v>
      </c>
      <c r="P14" s="122" t="s">
        <v>64</v>
      </c>
    </row>
    <row r="15" spans="3:16" ht="12.75">
      <c r="C15" s="4" t="s">
        <v>71</v>
      </c>
      <c r="D15" s="9" t="s">
        <v>45</v>
      </c>
      <c r="E15" s="9" t="s">
        <v>45</v>
      </c>
      <c r="F15" s="9" t="s">
        <v>53</v>
      </c>
      <c r="G15" s="9" t="s">
        <v>60</v>
      </c>
      <c r="H15" s="9" t="s">
        <v>40</v>
      </c>
      <c r="I15" s="9" t="s">
        <v>40</v>
      </c>
      <c r="J15" s="149" t="s">
        <v>41</v>
      </c>
      <c r="K15" s="9" t="s">
        <v>60</v>
      </c>
      <c r="L15" s="9" t="s">
        <v>277</v>
      </c>
      <c r="M15" s="9" t="s">
        <v>60</v>
      </c>
      <c r="N15" s="9" t="s">
        <v>41</v>
      </c>
      <c r="O15" s="1"/>
      <c r="P15" s="9" t="s">
        <v>65</v>
      </c>
    </row>
    <row r="16" spans="3:16" ht="12.75">
      <c r="C16" s="23" t="s">
        <v>120</v>
      </c>
      <c r="D16" s="10"/>
      <c r="E16" s="10"/>
      <c r="F16" s="10"/>
      <c r="G16" s="10"/>
      <c r="H16" s="10"/>
      <c r="I16" s="10"/>
      <c r="J16" s="147"/>
      <c r="K16" s="10"/>
      <c r="L16" s="10"/>
      <c r="M16" s="10"/>
      <c r="N16" s="10"/>
      <c r="O16" s="7"/>
      <c r="P16" s="10">
        <v>0</v>
      </c>
    </row>
    <row r="17" spans="3:16" ht="14.25">
      <c r="C17" t="s">
        <v>8</v>
      </c>
      <c r="D17" s="8">
        <f>AVERAGE($D$5:$E$5)</f>
        <v>17.5</v>
      </c>
      <c r="E17" s="8">
        <f>AVERAGE($F$5:$G$5)</f>
        <v>29</v>
      </c>
      <c r="F17" s="144">
        <f>G17/60</f>
        <v>0.016666666666666666</v>
      </c>
      <c r="G17" s="139">
        <v>1</v>
      </c>
      <c r="H17" s="8">
        <f>Hackgutlinien!$C$18</f>
        <v>1</v>
      </c>
      <c r="I17" s="15">
        <f>Hackgutlinien!$C$19</f>
        <v>4</v>
      </c>
      <c r="J17" s="146">
        <f>(($H$17/D17)+($I$17/E17))*2+F17</f>
        <v>0.40681444991789817</v>
      </c>
      <c r="K17" s="15">
        <f>J17*60</f>
        <v>24.40886699507389</v>
      </c>
      <c r="L17" s="15">
        <f>Erträge!F5/9.4664/1.2</f>
        <v>1.9806895968900533</v>
      </c>
      <c r="M17" s="146">
        <f>20/L17</f>
        <v>10.097493333333333</v>
      </c>
      <c r="N17" s="146">
        <f>M17/60</f>
        <v>0.16829155555555556</v>
      </c>
      <c r="O17" s="15">
        <f>J17/N17+1</f>
        <v>3.4173194464507914</v>
      </c>
      <c r="P17" s="21">
        <f>ROUNDUP(O17,0)</f>
        <v>4</v>
      </c>
    </row>
    <row r="18" spans="3:16" ht="14.25">
      <c r="C18" t="s">
        <v>9</v>
      </c>
      <c r="D18" s="8">
        <f>AVERAGE($D$5:$E$5)</f>
        <v>17.5</v>
      </c>
      <c r="E18" s="8">
        <f>AVERAGE($F$5:$G$5)</f>
        <v>29</v>
      </c>
      <c r="F18" s="144">
        <f>G18/60</f>
        <v>0.08333333333333333</v>
      </c>
      <c r="G18" s="139">
        <v>5</v>
      </c>
      <c r="H18" s="8"/>
      <c r="I18" s="8"/>
      <c r="J18" s="146">
        <f>(($H$17/D18)+($I$17/E18))*2+F18</f>
        <v>0.4734811165845648</v>
      </c>
      <c r="K18" s="15">
        <f>J18*60</f>
        <v>28.40886699507389</v>
      </c>
      <c r="L18" s="146"/>
      <c r="M18" s="146">
        <f>35/L17</f>
        <v>17.670613333333332</v>
      </c>
      <c r="N18" s="146">
        <f>M18/60</f>
        <v>0.2945102222222222</v>
      </c>
      <c r="O18" s="15">
        <f>J18/N18+1</f>
        <v>2.607689923330744</v>
      </c>
      <c r="P18" s="21">
        <f>ROUNDUP(O18,0)</f>
        <v>3</v>
      </c>
    </row>
    <row r="19" spans="3:16" ht="14.25">
      <c r="C19" t="s">
        <v>10</v>
      </c>
      <c r="D19" s="8">
        <f>AVERAGE($D$5:$E$5)</f>
        <v>17.5</v>
      </c>
      <c r="E19" s="8">
        <f>AVERAGE($F$5:$G$5)</f>
        <v>29</v>
      </c>
      <c r="F19" s="144">
        <f>G19/60</f>
        <v>0.03333333333333333</v>
      </c>
      <c r="G19" s="139">
        <v>2</v>
      </c>
      <c r="H19" s="8"/>
      <c r="I19" s="8"/>
      <c r="J19" s="146">
        <f>(($H$17/D19)+($I$17/E19))*2+F19</f>
        <v>0.42348111658456483</v>
      </c>
      <c r="K19" s="15">
        <f>J19*60</f>
        <v>25.40886699507389</v>
      </c>
      <c r="L19" s="14"/>
      <c r="M19" s="146">
        <f>40/L17</f>
        <v>20.194986666666665</v>
      </c>
      <c r="N19" s="146">
        <f>16/60</f>
        <v>0.26666666666666666</v>
      </c>
      <c r="O19" s="15">
        <f>J19/N19+1</f>
        <v>2.5880541871921183</v>
      </c>
      <c r="P19" s="21">
        <f>ROUNDUP(O19,0)</f>
        <v>3</v>
      </c>
    </row>
    <row r="20" spans="4:14" ht="12.75">
      <c r="D20" s="8"/>
      <c r="E20" s="8"/>
      <c r="F20" s="8"/>
      <c r="G20" s="8"/>
      <c r="H20" s="8"/>
      <c r="I20" s="8"/>
      <c r="J20" s="146"/>
      <c r="K20" s="15"/>
      <c r="L20" s="14"/>
      <c r="M20" s="8"/>
      <c r="N20" s="15"/>
    </row>
    <row r="21" spans="3:16" ht="12.75">
      <c r="C21" s="86" t="s">
        <v>124</v>
      </c>
      <c r="D21" s="8"/>
      <c r="E21" s="8"/>
      <c r="F21" s="8"/>
      <c r="G21" s="8"/>
      <c r="H21" s="8"/>
      <c r="I21" s="8"/>
      <c r="J21" s="157">
        <f>2*(Hackgutlinien!C22/60)+LOOKUP(1,1/(Transporteinheiten=Wahl_der_Transporteinheiten),Dauer_Abladen)</f>
        <v>0.016666666666666666</v>
      </c>
      <c r="K21" s="157">
        <f>J21*60</f>
        <v>1</v>
      </c>
      <c r="L21" s="19"/>
      <c r="M21" s="157">
        <f>N21*60</f>
        <v>10.097493333333333</v>
      </c>
      <c r="N21" s="157">
        <f>LOOKUP(1,1/(Transporteinheiten=Wahl_der_Transporteinheiten),Befüllung_der_Transporteinheit)</f>
        <v>0.16829155555555556</v>
      </c>
      <c r="O21" s="157">
        <f>J21/N21+1</f>
        <v>1.0990344798445026</v>
      </c>
      <c r="P21" s="90">
        <f>ROUNDUP(O21,0)</f>
        <v>2</v>
      </c>
    </row>
    <row r="22" spans="4:13" ht="12.75">
      <c r="D22" s="8"/>
      <c r="E22" s="8"/>
      <c r="F22" s="8"/>
      <c r="G22" s="8"/>
      <c r="H22" s="8"/>
      <c r="I22" s="8"/>
      <c r="J22" s="19"/>
      <c r="K22" s="88"/>
      <c r="L22" s="87"/>
      <c r="M22" s="8"/>
    </row>
    <row r="23" spans="4:12" ht="12.75">
      <c r="D23" s="16" t="s">
        <v>311</v>
      </c>
      <c r="E23" s="17" t="s">
        <v>67</v>
      </c>
      <c r="F23" s="8" t="s">
        <v>0</v>
      </c>
      <c r="G23" s="123" t="s">
        <v>73</v>
      </c>
      <c r="H23" s="22"/>
      <c r="I23" s="14"/>
      <c r="J23" s="88"/>
      <c r="K23" s="87"/>
      <c r="L23" s="8"/>
    </row>
    <row r="24" spans="3:12" ht="12.75">
      <c r="C24" s="4" t="s">
        <v>153</v>
      </c>
      <c r="D24" s="9" t="s">
        <v>72</v>
      </c>
      <c r="E24" s="9"/>
      <c r="F24" s="9" t="s">
        <v>41</v>
      </c>
      <c r="G24" s="9" t="s">
        <v>68</v>
      </c>
      <c r="H24" s="9"/>
      <c r="I24" s="14"/>
      <c r="J24" s="88"/>
      <c r="K24" s="89"/>
      <c r="L24" s="8"/>
    </row>
    <row r="25" spans="3:12" ht="12.75">
      <c r="C25" s="23" t="s">
        <v>120</v>
      </c>
      <c r="D25" s="178"/>
      <c r="E25" s="10"/>
      <c r="F25" s="10"/>
      <c r="G25" s="10">
        <v>0</v>
      </c>
      <c r="H25" s="10"/>
      <c r="I25" s="14"/>
      <c r="J25" s="88"/>
      <c r="K25" s="89"/>
      <c r="L25" s="8"/>
    </row>
    <row r="26" spans="3:12" ht="14.25">
      <c r="C26" s="187" t="s">
        <v>235</v>
      </c>
      <c r="D26" s="145">
        <v>40</v>
      </c>
      <c r="E26" s="21">
        <f>P17</f>
        <v>4</v>
      </c>
      <c r="F26" s="14">
        <f>Hackgutlinien!G4</f>
        <v>2.25027027027027</v>
      </c>
      <c r="G26" s="21">
        <f>D26*E26*$F$26</f>
        <v>360.04324324324324</v>
      </c>
      <c r="H26" s="15"/>
      <c r="I26" s="14"/>
      <c r="J26" s="88"/>
      <c r="K26" s="89"/>
      <c r="L26" s="8"/>
    </row>
    <row r="27" spans="3:12" ht="14.25">
      <c r="C27" s="187" t="s">
        <v>236</v>
      </c>
      <c r="D27" s="145">
        <v>63</v>
      </c>
      <c r="E27" s="21">
        <f>P18</f>
        <v>3</v>
      </c>
      <c r="F27" s="14"/>
      <c r="G27" s="21">
        <f>D27*E27*$F$26</f>
        <v>425.30108108108107</v>
      </c>
      <c r="H27" s="15"/>
      <c r="I27" s="14"/>
      <c r="J27" s="88"/>
      <c r="K27" s="89"/>
      <c r="L27" s="8"/>
    </row>
    <row r="28" spans="3:12" ht="14.25">
      <c r="C28" s="187" t="s">
        <v>237</v>
      </c>
      <c r="D28" s="145">
        <v>65</v>
      </c>
      <c r="E28" s="21">
        <f>P19</f>
        <v>3</v>
      </c>
      <c r="F28" s="14"/>
      <c r="G28" s="21">
        <f>D28*E28*$F$26</f>
        <v>438.8027027027027</v>
      </c>
      <c r="H28" s="15"/>
      <c r="I28" s="8"/>
      <c r="J28" s="87"/>
      <c r="K28" s="89"/>
      <c r="L28" s="8"/>
    </row>
    <row r="29" spans="4:12" ht="12.75">
      <c r="D29" s="8"/>
      <c r="E29" s="8"/>
      <c r="F29" s="8"/>
      <c r="G29" s="21"/>
      <c r="H29" s="8"/>
      <c r="I29" s="8"/>
      <c r="J29" s="8"/>
      <c r="K29" s="8"/>
      <c r="L29" s="8"/>
    </row>
    <row r="30" spans="3:12" ht="12.75">
      <c r="C30" s="86" t="s">
        <v>158</v>
      </c>
      <c r="D30" s="90">
        <f>LOOKUP(1,1/(Transporteinheiten=Wahl_der_Transporteinheiten),Transportkosten_pro_Stunde)</f>
        <v>40</v>
      </c>
      <c r="E30" s="90">
        <f>P21</f>
        <v>2</v>
      </c>
      <c r="F30" s="8"/>
      <c r="G30" s="90">
        <f>D30*E30*$F$26</f>
        <v>180.02162162162162</v>
      </c>
      <c r="H30" s="8"/>
      <c r="I30" s="8"/>
      <c r="J30" s="8"/>
      <c r="K30" s="8"/>
      <c r="L30" s="8"/>
    </row>
    <row r="31" spans="3:12" ht="12.75">
      <c r="C31" s="86"/>
      <c r="D31" s="90"/>
      <c r="E31" s="90"/>
      <c r="F31" s="8"/>
      <c r="G31" s="90"/>
      <c r="H31" s="8"/>
      <c r="I31" s="8"/>
      <c r="J31" s="8"/>
      <c r="K31" s="8"/>
      <c r="L31" s="8"/>
    </row>
    <row r="32" spans="3:12" ht="12.75">
      <c r="C32" s="86"/>
      <c r="D32" s="90"/>
      <c r="E32" s="90"/>
      <c r="F32" s="8"/>
      <c r="G32" s="90"/>
      <c r="H32" s="8"/>
      <c r="I32" s="8"/>
      <c r="J32" s="8"/>
      <c r="K32" s="8"/>
      <c r="L32" s="8"/>
    </row>
    <row r="33" spans="4:12" ht="12.75">
      <c r="D33" s="8"/>
      <c r="E33" s="8"/>
      <c r="F33" s="8"/>
      <c r="G33" s="8"/>
      <c r="H33" s="8"/>
      <c r="I33" s="8"/>
      <c r="J33" s="8"/>
      <c r="K33" s="8"/>
      <c r="L33" s="8"/>
    </row>
    <row r="34" spans="4:12" ht="12.75">
      <c r="D34" s="8"/>
      <c r="E34" s="8"/>
      <c r="F34" s="8"/>
      <c r="G34" s="8"/>
      <c r="H34" s="8"/>
      <c r="I34" s="8"/>
      <c r="J34" s="8"/>
      <c r="K34" s="8"/>
      <c r="L34" s="8"/>
    </row>
    <row r="35" spans="2:14" ht="18">
      <c r="B35" s="65" t="s">
        <v>129</v>
      </c>
      <c r="D35" s="8"/>
      <c r="E35" s="8"/>
      <c r="F35" s="8"/>
      <c r="G35" s="8"/>
      <c r="H35" s="8"/>
      <c r="I35" s="8"/>
      <c r="J35" s="8"/>
      <c r="K35" s="8"/>
      <c r="L35" s="8"/>
      <c r="N35" s="160" t="s">
        <v>189</v>
      </c>
    </row>
    <row r="36" spans="4:15" ht="12.75">
      <c r="D36" s="10"/>
      <c r="E36" s="10"/>
      <c r="F36" s="8"/>
      <c r="G36" s="8"/>
      <c r="H36" s="8"/>
      <c r="J36" s="152" t="s">
        <v>172</v>
      </c>
      <c r="K36" s="143" t="s">
        <v>171</v>
      </c>
      <c r="L36" s="12" t="s">
        <v>100</v>
      </c>
      <c r="M36" s="12" t="s">
        <v>183</v>
      </c>
      <c r="N36" s="8" t="s">
        <v>149</v>
      </c>
      <c r="O36" s="8" t="s">
        <v>149</v>
      </c>
    </row>
    <row r="37" spans="4:18" ht="12.75">
      <c r="D37" s="10" t="s">
        <v>54</v>
      </c>
      <c r="E37" s="10" t="s">
        <v>48</v>
      </c>
      <c r="F37" s="143" t="s">
        <v>52</v>
      </c>
      <c r="G37" s="10" t="s">
        <v>148</v>
      </c>
      <c r="H37" s="10" t="s">
        <v>49</v>
      </c>
      <c r="I37" s="10" t="s">
        <v>50</v>
      </c>
      <c r="J37" s="148" t="s">
        <v>51</v>
      </c>
      <c r="K37" s="158" t="s">
        <v>51</v>
      </c>
      <c r="L37" s="12" t="s">
        <v>99</v>
      </c>
      <c r="M37" s="12" t="s">
        <v>184</v>
      </c>
      <c r="N37" s="20" t="s">
        <v>61</v>
      </c>
      <c r="O37" s="20" t="s">
        <v>61</v>
      </c>
      <c r="P37" s="20" t="s">
        <v>97</v>
      </c>
      <c r="Q37" s="122" t="s">
        <v>98</v>
      </c>
      <c r="R37" s="20" t="s">
        <v>101</v>
      </c>
    </row>
    <row r="38" spans="3:18" ht="12.75">
      <c r="C38" s="4" t="s">
        <v>181</v>
      </c>
      <c r="D38" s="9" t="s">
        <v>45</v>
      </c>
      <c r="E38" s="9" t="s">
        <v>45</v>
      </c>
      <c r="F38" s="9" t="s">
        <v>53</v>
      </c>
      <c r="G38" s="9" t="s">
        <v>60</v>
      </c>
      <c r="H38" s="9" t="s">
        <v>40</v>
      </c>
      <c r="I38" s="9" t="s">
        <v>40</v>
      </c>
      <c r="J38" s="149" t="s">
        <v>41</v>
      </c>
      <c r="K38" s="9" t="s">
        <v>60</v>
      </c>
      <c r="L38" s="9" t="s">
        <v>276</v>
      </c>
      <c r="M38" s="9" t="s">
        <v>182</v>
      </c>
      <c r="N38" s="9" t="s">
        <v>41</v>
      </c>
      <c r="O38" s="9" t="s">
        <v>60</v>
      </c>
      <c r="P38" s="1"/>
      <c r="Q38" s="9" t="s">
        <v>65</v>
      </c>
      <c r="R38" s="9" t="s">
        <v>41</v>
      </c>
    </row>
    <row r="39" spans="3:18" ht="12.75">
      <c r="C39" s="23" t="s">
        <v>120</v>
      </c>
      <c r="D39" s="10"/>
      <c r="E39" s="10"/>
      <c r="F39" s="10"/>
      <c r="G39" s="10"/>
      <c r="H39" s="10"/>
      <c r="I39" s="10"/>
      <c r="J39" s="147"/>
      <c r="K39" s="10"/>
      <c r="L39" s="12"/>
      <c r="M39" s="12"/>
      <c r="N39" s="10"/>
      <c r="O39" s="10"/>
      <c r="P39" s="7"/>
      <c r="Q39" s="10">
        <v>0</v>
      </c>
      <c r="R39" s="10"/>
    </row>
    <row r="40" spans="3:18" ht="14.25">
      <c r="C40" t="s">
        <v>8</v>
      </c>
      <c r="D40" s="8">
        <f>AVERAGE($D$5:$E$5)</f>
        <v>17.5</v>
      </c>
      <c r="E40" s="8">
        <f>AVERAGE($F$5:$G$5)</f>
        <v>29</v>
      </c>
      <c r="F40" s="144">
        <f>G40/60</f>
        <v>0.016666666666666666</v>
      </c>
      <c r="G40" s="139">
        <v>1</v>
      </c>
      <c r="H40" s="15">
        <f>Hackgutlinien!C62</f>
        <v>0</v>
      </c>
      <c r="I40" s="15">
        <f>Hackgutlinien!C63</f>
        <v>0</v>
      </c>
      <c r="J40" s="146">
        <f>(($H$40/D40)+($I$40/E40))*2+F40</f>
        <v>0.016666666666666666</v>
      </c>
      <c r="K40" s="15">
        <f>J40*60</f>
        <v>1</v>
      </c>
      <c r="L40" s="15">
        <f>Hackgutlinien!C43*7.1</f>
        <v>264.546</v>
      </c>
      <c r="M40" s="8">
        <v>20</v>
      </c>
      <c r="N40" s="139">
        <f>O40/60</f>
        <v>0.15291666666666667</v>
      </c>
      <c r="O40" s="139">
        <f>O44/8*2+2</f>
        <v>9.175</v>
      </c>
      <c r="P40" s="15">
        <f>$L$40/M40</f>
        <v>13.2273</v>
      </c>
      <c r="Q40" s="21">
        <f>ROUNDUP(P40,0)</f>
        <v>14</v>
      </c>
      <c r="R40" s="15">
        <f>(F40+J40+N40)*Q40</f>
        <v>2.6075</v>
      </c>
    </row>
    <row r="41" spans="3:18" ht="14.25">
      <c r="C41" t="s">
        <v>9</v>
      </c>
      <c r="D41" s="8">
        <f>AVERAGE($D$5:$E$5)</f>
        <v>17.5</v>
      </c>
      <c r="E41" s="8">
        <f>AVERAGE($F$5:$G$5)</f>
        <v>29</v>
      </c>
      <c r="F41" s="144">
        <f>G41/60</f>
        <v>0.08333333333333333</v>
      </c>
      <c r="G41" s="139">
        <v>5</v>
      </c>
      <c r="H41" s="8"/>
      <c r="I41" s="8"/>
      <c r="J41" s="146">
        <f>(($H$40/D41)+($I$40/E41))*2+F41</f>
        <v>0.08333333333333333</v>
      </c>
      <c r="K41" s="15">
        <f>J41*60</f>
        <v>5</v>
      </c>
      <c r="M41" s="8">
        <v>35</v>
      </c>
      <c r="N41" s="139">
        <f>O41/60</f>
        <v>0.24260416666666668</v>
      </c>
      <c r="O41" s="139">
        <f>O44/8*3.5+2</f>
        <v>14.55625</v>
      </c>
      <c r="P41" s="15">
        <f>$L$40/M41</f>
        <v>7.558457142857143</v>
      </c>
      <c r="Q41" s="21">
        <f>ROUNDUP(P41,0)</f>
        <v>8</v>
      </c>
      <c r="R41" s="15">
        <f>(F41+J41+N41)*Q41</f>
        <v>3.274166666666667</v>
      </c>
    </row>
    <row r="42" spans="3:18" ht="14.25">
      <c r="C42" t="s">
        <v>10</v>
      </c>
      <c r="D42" s="8">
        <f>AVERAGE($D$5:$E$5)</f>
        <v>17.5</v>
      </c>
      <c r="E42" s="8">
        <f>AVERAGE($F$5:$G$5)</f>
        <v>29</v>
      </c>
      <c r="F42" s="144">
        <f>G42/60</f>
        <v>0.03333333333333333</v>
      </c>
      <c r="G42" s="139">
        <v>2</v>
      </c>
      <c r="H42" s="8"/>
      <c r="I42" s="8"/>
      <c r="J42" s="146">
        <f>(($H$40/D42)+($I$40/E42))*2+F42</f>
        <v>0.03333333333333333</v>
      </c>
      <c r="K42" s="15">
        <f>J42*60</f>
        <v>2</v>
      </c>
      <c r="M42" s="8">
        <v>40</v>
      </c>
      <c r="N42" s="139">
        <f>O42/60</f>
        <v>0.2725</v>
      </c>
      <c r="O42" s="139">
        <f>O44/2+2</f>
        <v>16.35</v>
      </c>
      <c r="P42" s="15">
        <f>$L$40/M42</f>
        <v>6.61365</v>
      </c>
      <c r="Q42" s="21">
        <f>ROUNDUP(P42,0)</f>
        <v>7</v>
      </c>
      <c r="R42" s="15">
        <f>(F42+J42+N42)*Q42</f>
        <v>2.3741666666666665</v>
      </c>
    </row>
    <row r="43" spans="3:18" ht="14.25">
      <c r="C43" t="s">
        <v>29</v>
      </c>
      <c r="D43" s="8">
        <f>AVERAGE($D$6:$E$6)</f>
        <v>17.5</v>
      </c>
      <c r="E43" s="8">
        <f>AVERAGE($F$6:$G$6)</f>
        <v>47.5</v>
      </c>
      <c r="F43" s="144">
        <f>G43/60</f>
        <v>0.3333333333333333</v>
      </c>
      <c r="G43" s="139">
        <v>20</v>
      </c>
      <c r="H43" s="8"/>
      <c r="I43" s="8"/>
      <c r="J43" s="146">
        <f>(($H$40/D43)+($I$40/E43))*2+F43</f>
        <v>0.3333333333333333</v>
      </c>
      <c r="K43" s="15">
        <f>J43*60</f>
        <v>20</v>
      </c>
      <c r="M43" s="8">
        <v>70</v>
      </c>
      <c r="N43" s="139">
        <f>N44/8*7</f>
        <v>0.42</v>
      </c>
      <c r="O43" s="139">
        <f>O44/8*7</f>
        <v>25.1125</v>
      </c>
      <c r="P43" s="15">
        <f>$L$40/M43</f>
        <v>3.7792285714285714</v>
      </c>
      <c r="Q43" s="21">
        <f>ROUNDUP(P43,0)</f>
        <v>4</v>
      </c>
      <c r="R43" s="15">
        <f>(F43+J43+N43)*Q43</f>
        <v>4.346666666666667</v>
      </c>
    </row>
    <row r="44" spans="3:18" ht="14.25">
      <c r="C44" t="s">
        <v>11</v>
      </c>
      <c r="D44" s="8">
        <f>AVERAGE($D$6:$E$6)</f>
        <v>17.5</v>
      </c>
      <c r="E44" s="8">
        <f>AVERAGE($F$6:$G$6)</f>
        <v>47.5</v>
      </c>
      <c r="F44" s="144">
        <f>G44/60</f>
        <v>0.5</v>
      </c>
      <c r="G44" s="139">
        <v>30</v>
      </c>
      <c r="H44" s="8"/>
      <c r="I44" s="8"/>
      <c r="J44" s="146">
        <f>(($H$40/D44)+($I$40/E44))*2+F44</f>
        <v>0.5</v>
      </c>
      <c r="K44" s="15">
        <f>J44*60</f>
        <v>30</v>
      </c>
      <c r="M44" s="8">
        <v>80</v>
      </c>
      <c r="N44" s="139">
        <v>0.48</v>
      </c>
      <c r="O44" s="139">
        <v>28.7</v>
      </c>
      <c r="P44" s="15">
        <f>$L$40/M44</f>
        <v>3.306825</v>
      </c>
      <c r="Q44" s="21">
        <f>ROUNDUP(P44,0)</f>
        <v>4</v>
      </c>
      <c r="R44" s="15">
        <f>(F44+J44+N44)*Q44</f>
        <v>5.92</v>
      </c>
    </row>
    <row r="45" spans="4:12" ht="12.75">
      <c r="D45" s="8"/>
      <c r="E45" s="8"/>
      <c r="F45" s="8"/>
      <c r="G45" s="8"/>
      <c r="H45" s="8"/>
      <c r="I45" s="8"/>
      <c r="J45" s="14"/>
      <c r="K45" s="8"/>
      <c r="L45" s="8"/>
    </row>
    <row r="46" spans="4:12" ht="12.75">
      <c r="D46" s="8"/>
      <c r="E46" s="8"/>
      <c r="F46" s="8"/>
      <c r="G46" s="8"/>
      <c r="H46" s="8"/>
      <c r="I46" s="14"/>
      <c r="J46" s="14"/>
      <c r="K46" s="8"/>
      <c r="L46" s="8"/>
    </row>
    <row r="47" spans="4:12" ht="12.75">
      <c r="D47" s="8"/>
      <c r="E47" s="8"/>
      <c r="F47" s="8"/>
      <c r="G47" s="8"/>
      <c r="H47" s="8"/>
      <c r="I47" s="14"/>
      <c r="J47" s="14"/>
      <c r="K47" s="8"/>
      <c r="L47" s="8"/>
    </row>
    <row r="48" spans="4:11" ht="12.75">
      <c r="D48" s="25" t="s">
        <v>66</v>
      </c>
      <c r="E48" s="8" t="s">
        <v>95</v>
      </c>
      <c r="F48" s="123" t="s">
        <v>96</v>
      </c>
      <c r="G48" s="22"/>
      <c r="H48" s="14"/>
      <c r="I48" s="14"/>
      <c r="J48" s="8"/>
      <c r="K48" s="8"/>
    </row>
    <row r="49" spans="3:11" ht="12.75">
      <c r="C49" s="4" t="s">
        <v>153</v>
      </c>
      <c r="D49" s="9" t="s">
        <v>72</v>
      </c>
      <c r="E49" s="9" t="s">
        <v>41</v>
      </c>
      <c r="F49" s="9" t="s">
        <v>68</v>
      </c>
      <c r="G49" s="9"/>
      <c r="H49" s="14"/>
      <c r="I49" s="14"/>
      <c r="J49" s="8"/>
      <c r="K49" s="8"/>
    </row>
    <row r="50" spans="3:11" ht="12.75">
      <c r="C50" s="23" t="s">
        <v>120</v>
      </c>
      <c r="D50" s="10"/>
      <c r="E50" s="10"/>
      <c r="F50" s="10">
        <v>0</v>
      </c>
      <c r="G50" s="10"/>
      <c r="H50" s="14"/>
      <c r="I50" s="14"/>
      <c r="J50" s="8"/>
      <c r="K50" s="8"/>
    </row>
    <row r="51" spans="3:11" ht="14.25">
      <c r="C51" t="s">
        <v>8</v>
      </c>
      <c r="D51" s="8">
        <v>40</v>
      </c>
      <c r="E51" s="15">
        <f>IF(AND(Hackgutlinien!C$62="",Hackgutlinien!C$63=""),0,R40)</f>
        <v>0</v>
      </c>
      <c r="F51" s="15">
        <f>D51*E51</f>
        <v>0</v>
      </c>
      <c r="G51" s="14"/>
      <c r="H51" s="14"/>
      <c r="I51" s="14"/>
      <c r="J51" s="8"/>
      <c r="K51" s="8"/>
    </row>
    <row r="52" spans="3:11" ht="14.25">
      <c r="C52" t="s">
        <v>9</v>
      </c>
      <c r="D52" s="8">
        <v>63</v>
      </c>
      <c r="E52" s="15">
        <f>IF(AND(Hackgutlinien!C$62="",Hackgutlinien!C$63=""),0,R41)</f>
        <v>0</v>
      </c>
      <c r="F52" s="15">
        <f>D52*E52</f>
        <v>0</v>
      </c>
      <c r="G52" s="15"/>
      <c r="H52" s="14"/>
      <c r="I52" s="14"/>
      <c r="J52" s="8"/>
      <c r="K52" s="8"/>
    </row>
    <row r="53" spans="3:11" ht="14.25">
      <c r="C53" t="s">
        <v>10</v>
      </c>
      <c r="D53" s="8">
        <v>65</v>
      </c>
      <c r="E53" s="15">
        <f>IF(AND(Hackgutlinien!C$62="",Hackgutlinien!C$63=""),0,R42)</f>
        <v>0</v>
      </c>
      <c r="F53" s="15">
        <f>D53*E53</f>
        <v>0</v>
      </c>
      <c r="G53" s="15"/>
      <c r="H53" s="8"/>
      <c r="I53" s="8"/>
      <c r="J53" s="8"/>
      <c r="K53" s="8"/>
    </row>
    <row r="54" spans="3:11" ht="14.25">
      <c r="C54" t="s">
        <v>29</v>
      </c>
      <c r="D54" s="8">
        <v>65</v>
      </c>
      <c r="E54" s="15">
        <f>IF(AND(Hackgutlinien!C$62="",Hackgutlinien!C$63=""),0,R43)</f>
        <v>0</v>
      </c>
      <c r="F54" s="15">
        <f>D54*E54</f>
        <v>0</v>
      </c>
      <c r="G54" s="15"/>
      <c r="H54" s="8"/>
      <c r="I54" s="8"/>
      <c r="J54" s="8"/>
      <c r="K54" s="8"/>
    </row>
    <row r="55" spans="3:11" ht="14.25">
      <c r="C55" t="s">
        <v>11</v>
      </c>
      <c r="D55" s="8">
        <v>70</v>
      </c>
      <c r="E55" s="15">
        <f>IF(AND(Hackgutlinien!C$62="",Hackgutlinien!C$63=""),0,R44)</f>
        <v>0</v>
      </c>
      <c r="F55" s="15">
        <f>D55*E55</f>
        <v>0</v>
      </c>
      <c r="G55" s="15"/>
      <c r="H55" s="8"/>
      <c r="I55" s="8"/>
      <c r="J55" s="8"/>
      <c r="K55" s="8"/>
    </row>
    <row r="56" spans="4:11" ht="12.75">
      <c r="D56" s="8"/>
      <c r="E56" s="8"/>
      <c r="F56" s="8"/>
      <c r="G56" s="8"/>
      <c r="H56" s="8"/>
      <c r="I56" s="8"/>
      <c r="J56" s="8"/>
      <c r="K56" s="8"/>
    </row>
    <row r="59" spans="1:12" ht="20.25">
      <c r="A59" s="114" t="s">
        <v>283</v>
      </c>
      <c r="L59" s="24"/>
    </row>
    <row r="60" spans="10:20" ht="12.75">
      <c r="J60" s="152" t="s">
        <v>172</v>
      </c>
      <c r="K60" s="137" t="s">
        <v>171</v>
      </c>
      <c r="L60" s="137" t="s">
        <v>155</v>
      </c>
      <c r="M60" s="12" t="s">
        <v>183</v>
      </c>
      <c r="N60" s="16" t="s">
        <v>149</v>
      </c>
      <c r="O60" s="8" t="s">
        <v>149</v>
      </c>
      <c r="S60" s="7"/>
      <c r="T60" s="7"/>
    </row>
    <row r="61" spans="4:20" ht="12.75">
      <c r="D61" s="10" t="s">
        <v>54</v>
      </c>
      <c r="E61" s="10" t="s">
        <v>48</v>
      </c>
      <c r="F61" s="137" t="s">
        <v>205</v>
      </c>
      <c r="G61" s="10" t="s">
        <v>148</v>
      </c>
      <c r="H61" s="10" t="s">
        <v>49</v>
      </c>
      <c r="I61" s="10" t="s">
        <v>50</v>
      </c>
      <c r="J61" s="153" t="s">
        <v>51</v>
      </c>
      <c r="K61" s="138" t="s">
        <v>173</v>
      </c>
      <c r="L61" s="158" t="s">
        <v>275</v>
      </c>
      <c r="M61" s="12" t="s">
        <v>184</v>
      </c>
      <c r="N61" s="122" t="s">
        <v>190</v>
      </c>
      <c r="O61" s="20" t="s">
        <v>61</v>
      </c>
      <c r="P61" s="20" t="s">
        <v>93</v>
      </c>
      <c r="Q61" s="122" t="s">
        <v>159</v>
      </c>
      <c r="S61" s="20"/>
      <c r="T61" s="12"/>
    </row>
    <row r="62" spans="3:20" ht="12.75">
      <c r="C62" s="4" t="s">
        <v>181</v>
      </c>
      <c r="D62" s="9" t="s">
        <v>45</v>
      </c>
      <c r="E62" s="9" t="s">
        <v>45</v>
      </c>
      <c r="F62" s="9" t="s">
        <v>53</v>
      </c>
      <c r="G62" s="9" t="s">
        <v>60</v>
      </c>
      <c r="H62" s="9" t="s">
        <v>40</v>
      </c>
      <c r="I62" s="9" t="s">
        <v>40</v>
      </c>
      <c r="J62" s="154" t="s">
        <v>41</v>
      </c>
      <c r="K62" s="9" t="s">
        <v>60</v>
      </c>
      <c r="L62" s="9" t="s">
        <v>277</v>
      </c>
      <c r="M62" s="9" t="s">
        <v>182</v>
      </c>
      <c r="N62" s="9" t="s">
        <v>41</v>
      </c>
      <c r="O62" s="9" t="s">
        <v>60</v>
      </c>
      <c r="P62" s="1"/>
      <c r="Q62" s="1" t="s">
        <v>65</v>
      </c>
      <c r="S62" s="7"/>
      <c r="T62" s="10"/>
    </row>
    <row r="63" spans="3:20" ht="12.75">
      <c r="C63" s="23" t="s">
        <v>120</v>
      </c>
      <c r="D63" s="10"/>
      <c r="E63" s="10"/>
      <c r="F63" s="10"/>
      <c r="G63" s="10"/>
      <c r="H63" s="10"/>
      <c r="I63" s="10"/>
      <c r="J63" s="152"/>
      <c r="K63" s="10"/>
      <c r="L63" s="10"/>
      <c r="M63" s="12"/>
      <c r="N63" s="10"/>
      <c r="O63" s="10"/>
      <c r="P63" s="7"/>
      <c r="Q63" s="10"/>
      <c r="S63" s="10"/>
      <c r="T63" s="10"/>
    </row>
    <row r="64" spans="3:20" ht="14.25">
      <c r="C64" t="s">
        <v>8</v>
      </c>
      <c r="D64" s="8">
        <f>AVERAGE($D$5:$E$5)</f>
        <v>17.5</v>
      </c>
      <c r="E64" s="8">
        <f>AVERAGE($F$5:$G$5)</f>
        <v>29</v>
      </c>
      <c r="F64" s="144">
        <f>G64/60</f>
        <v>0.016666666666666666</v>
      </c>
      <c r="G64" s="139">
        <v>1</v>
      </c>
      <c r="H64" s="15">
        <f>Vollbaumlinien!C47</f>
        <v>1</v>
      </c>
      <c r="I64" s="15">
        <f>Vollbaumlinien!C48</f>
        <v>3</v>
      </c>
      <c r="J64" s="155">
        <f>(($H$64/D64)+($I$64/E64))*2+F64</f>
        <v>0.3378489326765189</v>
      </c>
      <c r="K64" s="15">
        <f>J64*60</f>
        <v>20.27093596059113</v>
      </c>
      <c r="L64" s="15">
        <v>0.8</v>
      </c>
      <c r="M64" s="8">
        <v>20</v>
      </c>
      <c r="N64" s="139">
        <f>O64/60</f>
        <v>0.4166666666666667</v>
      </c>
      <c r="O64" s="159">
        <f>M64/L$64</f>
        <v>25</v>
      </c>
      <c r="P64" s="15">
        <f>J64/N64+1</f>
        <v>1.8108374384236452</v>
      </c>
      <c r="Q64" s="21">
        <f>ROUNDUP(P64,0)</f>
        <v>2</v>
      </c>
      <c r="S64" s="118"/>
      <c r="T64" s="117"/>
    </row>
    <row r="65" spans="3:20" ht="14.25">
      <c r="C65" t="s">
        <v>9</v>
      </c>
      <c r="D65" s="8">
        <f>AVERAGE($D$5:$E$5)</f>
        <v>17.5</v>
      </c>
      <c r="E65" s="8">
        <f>AVERAGE($F$5:$G$5)</f>
        <v>29</v>
      </c>
      <c r="F65" s="144">
        <f>G65/60</f>
        <v>0.08333333333333333</v>
      </c>
      <c r="G65" s="139">
        <v>5</v>
      </c>
      <c r="H65" s="8"/>
      <c r="I65" s="8"/>
      <c r="J65" s="155">
        <f>(($H$64/D65)+($I$64/E65))*2+F65</f>
        <v>0.40451559934318554</v>
      </c>
      <c r="K65" s="15">
        <f>J65*60</f>
        <v>24.27093596059113</v>
      </c>
      <c r="L65" s="162"/>
      <c r="M65" s="8">
        <v>35</v>
      </c>
      <c r="N65" s="139">
        <f>O65/60</f>
        <v>0.7291666666666666</v>
      </c>
      <c r="O65" s="159">
        <f>M65/L$64</f>
        <v>43.75</v>
      </c>
      <c r="P65" s="15">
        <f>J65/N65+1</f>
        <v>1.5547642505277972</v>
      </c>
      <c r="Q65" s="21">
        <f>ROUNDUP(P65,0)</f>
        <v>2</v>
      </c>
      <c r="S65" s="118"/>
      <c r="T65" s="117"/>
    </row>
    <row r="66" spans="3:20" ht="14.25">
      <c r="C66" t="s">
        <v>10</v>
      </c>
      <c r="D66" s="8">
        <f>AVERAGE($D$5:$E$5)</f>
        <v>17.5</v>
      </c>
      <c r="E66" s="8">
        <f>AVERAGE($F$5:$G$5)</f>
        <v>29</v>
      </c>
      <c r="F66" s="144">
        <f>G66/60</f>
        <v>0.03333333333333333</v>
      </c>
      <c r="G66" s="139">
        <v>2</v>
      </c>
      <c r="H66" s="8"/>
      <c r="I66" s="8"/>
      <c r="J66" s="155">
        <f>(($H$64/D66)+($I$64/E66))*2+F66</f>
        <v>0.35451559934318555</v>
      </c>
      <c r="K66" s="15">
        <f>J66*60</f>
        <v>21.27093596059113</v>
      </c>
      <c r="L66" s="14"/>
      <c r="M66" s="8">
        <v>40</v>
      </c>
      <c r="N66" s="139">
        <f>O66/60</f>
        <v>0.8333333333333334</v>
      </c>
      <c r="O66" s="159">
        <f>M66/L$64</f>
        <v>50</v>
      </c>
      <c r="P66" s="15">
        <f>J66/N66+1</f>
        <v>1.4254187192118226</v>
      </c>
      <c r="Q66" s="21">
        <f>ROUNDUP(P66,0)</f>
        <v>2</v>
      </c>
      <c r="S66" s="118"/>
      <c r="T66" s="117"/>
    </row>
    <row r="67" spans="3:20" ht="14.25">
      <c r="C67" t="s">
        <v>29</v>
      </c>
      <c r="D67" s="8">
        <f>AVERAGE($D$6:$E$6)</f>
        <v>17.5</v>
      </c>
      <c r="E67" s="8">
        <f>AVERAGE($F$6:$G$6)</f>
        <v>47.5</v>
      </c>
      <c r="F67" s="144">
        <f>2*F65</f>
        <v>0.16666666666666666</v>
      </c>
      <c r="G67" s="139">
        <f>2*G65+2</f>
        <v>12</v>
      </c>
      <c r="H67" s="8"/>
      <c r="I67" s="8"/>
      <c r="J67" s="155">
        <f>(($H$64/D67)+($I$64/E67))*2+F67</f>
        <v>0.4072681704260651</v>
      </c>
      <c r="K67" s="15">
        <f>J67*60</f>
        <v>24.436090225563905</v>
      </c>
      <c r="L67" s="14"/>
      <c r="M67" s="8">
        <v>70</v>
      </c>
      <c r="N67" s="139">
        <f>O67/60</f>
        <v>1.4583333333333333</v>
      </c>
      <c r="O67" s="159">
        <f>M67/L$64</f>
        <v>87.5</v>
      </c>
      <c r="P67" s="15">
        <f>J67/N67+1</f>
        <v>1.2792696025778731</v>
      </c>
      <c r="Q67" s="21">
        <f>ROUNDUP(P67,0)</f>
        <v>2</v>
      </c>
      <c r="S67" s="118"/>
      <c r="T67" s="117"/>
    </row>
    <row r="68" spans="3:20" ht="14.25">
      <c r="C68" t="s">
        <v>11</v>
      </c>
      <c r="D68" s="8">
        <f>AVERAGE($D$6:$E$6)</f>
        <v>17.5</v>
      </c>
      <c r="E68" s="8">
        <f>AVERAGE($F$6:$G$6)</f>
        <v>47.5</v>
      </c>
      <c r="F68" s="144">
        <f>G68/60</f>
        <v>0.13333333333333333</v>
      </c>
      <c r="G68" s="139">
        <v>8</v>
      </c>
      <c r="H68" s="8"/>
      <c r="I68" s="8"/>
      <c r="J68" s="155">
        <f>(($H$64/D68)+($I$64/E68))*2+F68</f>
        <v>0.3739348370927318</v>
      </c>
      <c r="K68" s="15">
        <f>J68*60</f>
        <v>22.43609022556391</v>
      </c>
      <c r="L68" s="19"/>
      <c r="M68" s="8">
        <v>80</v>
      </c>
      <c r="N68" s="139">
        <f>O68/60</f>
        <v>1.6666666666666667</v>
      </c>
      <c r="O68" s="159">
        <f>M68/L$64</f>
        <v>100</v>
      </c>
      <c r="P68" s="15">
        <f>J68/N68+1</f>
        <v>1.224360902255639</v>
      </c>
      <c r="Q68" s="21">
        <f>ROUNDUP(P68,0)</f>
        <v>2</v>
      </c>
      <c r="S68" s="118"/>
      <c r="T68" s="117"/>
    </row>
    <row r="69" spans="10:20" ht="12.75">
      <c r="J69" s="156"/>
      <c r="K69" s="220"/>
      <c r="N69" s="220"/>
      <c r="S69" s="7"/>
      <c r="T69" s="7"/>
    </row>
    <row r="70" spans="3:17" ht="12.75">
      <c r="C70" s="86" t="s">
        <v>124</v>
      </c>
      <c r="D70" s="8"/>
      <c r="E70" s="8"/>
      <c r="F70" s="8"/>
      <c r="G70" s="8"/>
      <c r="H70" s="8"/>
      <c r="I70" s="8"/>
      <c r="J70" s="19">
        <f>2*(Vollbaumlinien!C51/60)+LOOKUP(1,1/(Transporteinheiten_2=Wahl_der_Transporteinheiten_3),Dauer_Abladen_2)</f>
        <v>0.016666666666666666</v>
      </c>
      <c r="K70" s="157">
        <f>J70*60</f>
        <v>1</v>
      </c>
      <c r="L70" s="19"/>
      <c r="M70" s="19"/>
      <c r="N70" s="157">
        <f>LOOKUP(1,1/(Transporteinheiten_2=Wahl_der_Transporteinheiten_3),Befüllung_der_Transporteinheit_2)</f>
        <v>0.4166666666666667</v>
      </c>
      <c r="O70" s="157">
        <f>N70*60</f>
        <v>25</v>
      </c>
      <c r="P70" s="157">
        <f>J70/N70+1</f>
        <v>1.04</v>
      </c>
      <c r="Q70" s="90">
        <f>ROUNDUP(P70,0)</f>
        <v>2</v>
      </c>
    </row>
    <row r="71" spans="3:7" ht="12.75">
      <c r="C71" s="7"/>
      <c r="D71" s="10"/>
      <c r="E71" s="10"/>
      <c r="F71" s="115"/>
      <c r="G71" s="116"/>
    </row>
    <row r="72" spans="4:8" ht="12.75">
      <c r="D72" s="16" t="s">
        <v>312</v>
      </c>
      <c r="E72" s="17" t="s">
        <v>67</v>
      </c>
      <c r="F72" s="25" t="s">
        <v>151</v>
      </c>
      <c r="G72" s="123" t="s">
        <v>147</v>
      </c>
      <c r="H72" s="22"/>
    </row>
    <row r="73" spans="3:8" ht="14.25" customHeight="1">
      <c r="C73" s="4" t="s">
        <v>153</v>
      </c>
      <c r="D73" s="9" t="s">
        <v>72</v>
      </c>
      <c r="E73" s="9"/>
      <c r="F73" s="150" t="s">
        <v>41</v>
      </c>
      <c r="G73" s="9" t="s">
        <v>68</v>
      </c>
      <c r="H73" s="9"/>
    </row>
    <row r="74" spans="3:8" ht="12.75">
      <c r="C74" s="23" t="s">
        <v>120</v>
      </c>
      <c r="D74" s="10"/>
      <c r="E74" s="10"/>
      <c r="F74" s="143"/>
      <c r="G74" s="10">
        <v>0</v>
      </c>
      <c r="H74" s="10"/>
    </row>
    <row r="75" spans="3:8" ht="14.25">
      <c r="C75" t="s">
        <v>8</v>
      </c>
      <c r="D75" s="8">
        <v>40</v>
      </c>
      <c r="E75" s="21">
        <f>Vollbaumlinien!C$54</f>
        <v>2</v>
      </c>
      <c r="F75" s="151">
        <f>Ernte!F64</f>
        <v>5.511374999999999</v>
      </c>
      <c r="G75" s="21">
        <f>D75*E75*F$75</f>
        <v>440.90999999999997</v>
      </c>
      <c r="H75" s="15"/>
    </row>
    <row r="76" spans="3:8" ht="14.25">
      <c r="C76" t="s">
        <v>9</v>
      </c>
      <c r="D76" s="8">
        <v>63</v>
      </c>
      <c r="E76" s="21">
        <f>Vollbaumlinien!C$54</f>
        <v>2</v>
      </c>
      <c r="F76" s="14"/>
      <c r="G76" s="21">
        <f>D76*E76*F$75</f>
        <v>694.4332499999999</v>
      </c>
      <c r="H76" s="15"/>
    </row>
    <row r="77" spans="3:8" ht="14.25">
      <c r="C77" t="s">
        <v>10</v>
      </c>
      <c r="D77" s="8">
        <v>65</v>
      </c>
      <c r="E77" s="21">
        <f>Vollbaumlinien!C$54</f>
        <v>2</v>
      </c>
      <c r="F77" s="14"/>
      <c r="G77" s="21">
        <f>D77*E77*F$75</f>
        <v>716.4787499999999</v>
      </c>
      <c r="H77" s="15"/>
    </row>
    <row r="78" spans="3:8" ht="14.25">
      <c r="C78" t="s">
        <v>29</v>
      </c>
      <c r="D78" s="21">
        <v>65</v>
      </c>
      <c r="E78" s="21">
        <f>Vollbaumlinien!C$54</f>
        <v>2</v>
      </c>
      <c r="F78" s="14"/>
      <c r="G78" s="21">
        <f>D78*E78*F$75</f>
        <v>716.4787499999999</v>
      </c>
      <c r="H78" s="15"/>
    </row>
    <row r="79" spans="3:8" ht="14.25">
      <c r="C79" t="s">
        <v>11</v>
      </c>
      <c r="D79" s="8">
        <v>70</v>
      </c>
      <c r="E79" s="21">
        <f>Vollbaumlinien!C$54</f>
        <v>2</v>
      </c>
      <c r="F79" s="14"/>
      <c r="G79" s="21">
        <f>D79*E79*F$75</f>
        <v>771.5924999999999</v>
      </c>
      <c r="H79" s="15"/>
    </row>
    <row r="80" spans="4:8" ht="12.75">
      <c r="D80" s="8"/>
      <c r="E80" s="8"/>
      <c r="F80" s="8"/>
      <c r="G80" s="21"/>
      <c r="H80" s="8"/>
    </row>
    <row r="81" spans="3:12" ht="12.75">
      <c r="C81" s="86" t="s">
        <v>158</v>
      </c>
      <c r="D81" s="90">
        <f>LOOKUP(1,1/(Transporteinheiten_2=Wahl_der_Transporteinheiten_3),Transportkosten_pro_Stunde_2)</f>
        <v>40</v>
      </c>
      <c r="E81" s="21">
        <f>Vollbaumlinien!C$54</f>
        <v>2</v>
      </c>
      <c r="F81" s="8"/>
      <c r="G81" s="90">
        <f>D81*E81*F$75</f>
        <v>440.90999999999997</v>
      </c>
      <c r="H81" s="8"/>
      <c r="I81" s="8"/>
      <c r="J81" s="8"/>
      <c r="K81" s="8"/>
      <c r="L81" s="8"/>
    </row>
    <row r="82" spans="3:7" ht="12.75">
      <c r="C82" s="7"/>
      <c r="D82" s="7"/>
      <c r="E82" s="7"/>
      <c r="F82" s="7"/>
      <c r="G82" s="7"/>
    </row>
    <row r="83" spans="3:7" ht="12.75">
      <c r="C83" s="7"/>
      <c r="D83" s="7"/>
      <c r="E83" s="7"/>
      <c r="F83" s="7"/>
      <c r="G83" s="7"/>
    </row>
    <row r="84" spans="3:7" ht="12.75">
      <c r="C84" s="7"/>
      <c r="D84" s="7"/>
      <c r="E84" s="7"/>
      <c r="F84" s="7"/>
      <c r="G84" s="7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6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2:I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41.7109375" style="0" customWidth="1"/>
    <col min="3" max="3" width="2.8515625" style="0" customWidth="1"/>
    <col min="4" max="4" width="45.8515625" style="0" customWidth="1"/>
    <col min="5" max="5" width="2.7109375" style="0" customWidth="1"/>
    <col min="6" max="6" width="40.8515625" style="0" customWidth="1"/>
    <col min="7" max="7" width="6.8515625" style="0" customWidth="1"/>
    <col min="8" max="8" width="18.7109375" style="0" customWidth="1"/>
  </cols>
  <sheetData>
    <row r="2" ht="15.75">
      <c r="B2" s="165" t="s">
        <v>206</v>
      </c>
    </row>
    <row r="3" ht="15">
      <c r="B3" s="164"/>
    </row>
    <row r="5" spans="2:9" ht="12.75">
      <c r="B5" s="4" t="s">
        <v>24</v>
      </c>
      <c r="D5" s="4" t="s">
        <v>71</v>
      </c>
      <c r="F5" s="4" t="s">
        <v>269</v>
      </c>
      <c r="G5" s="70"/>
      <c r="H5" s="4" t="s">
        <v>23</v>
      </c>
      <c r="I5" s="4" t="s">
        <v>63</v>
      </c>
    </row>
    <row r="6" spans="2:9" ht="12.75">
      <c r="B6" t="s">
        <v>286</v>
      </c>
      <c r="D6" t="s">
        <v>284</v>
      </c>
      <c r="F6" t="s">
        <v>202</v>
      </c>
      <c r="H6" s="8">
        <v>2</v>
      </c>
      <c r="I6" s="8">
        <v>1</v>
      </c>
    </row>
    <row r="7" spans="2:9" ht="12.75">
      <c r="B7" s="4" t="s">
        <v>296</v>
      </c>
      <c r="D7" s="4" t="s">
        <v>181</v>
      </c>
      <c r="H7" s="8">
        <v>3</v>
      </c>
      <c r="I7" s="8">
        <v>2</v>
      </c>
    </row>
    <row r="8" spans="2:9" ht="12.75">
      <c r="B8" t="s">
        <v>195</v>
      </c>
      <c r="D8" t="s">
        <v>285</v>
      </c>
      <c r="E8" s="70"/>
      <c r="F8" s="4" t="s">
        <v>84</v>
      </c>
      <c r="G8" s="70"/>
      <c r="H8" s="8">
        <v>4</v>
      </c>
      <c r="I8" s="8">
        <v>3</v>
      </c>
    </row>
    <row r="9" spans="5:9" ht="12.75">
      <c r="E9" s="7"/>
      <c r="F9" t="s">
        <v>203</v>
      </c>
      <c r="H9" s="8">
        <v>5</v>
      </c>
      <c r="I9" s="8">
        <v>4</v>
      </c>
    </row>
    <row r="10" spans="5:9" ht="12.75">
      <c r="E10" s="7"/>
      <c r="H10" s="8">
        <v>6</v>
      </c>
      <c r="I10" s="8">
        <v>5</v>
      </c>
    </row>
    <row r="11" spans="2:9" ht="12.75">
      <c r="B11" s="4" t="s">
        <v>62</v>
      </c>
      <c r="D11" s="4" t="s">
        <v>70</v>
      </c>
      <c r="E11" s="7"/>
      <c r="F11" s="4" t="s">
        <v>85</v>
      </c>
      <c r="H11" s="8">
        <v>7</v>
      </c>
      <c r="I11" s="8">
        <v>6</v>
      </c>
    </row>
    <row r="12" spans="2:9" ht="12.75">
      <c r="B12" t="s">
        <v>193</v>
      </c>
      <c r="D12" t="s">
        <v>194</v>
      </c>
      <c r="E12" s="7"/>
      <c r="F12" t="s">
        <v>204</v>
      </c>
      <c r="H12" s="8">
        <v>8</v>
      </c>
      <c r="I12" s="8">
        <v>7</v>
      </c>
    </row>
    <row r="13" spans="2:9" ht="12.75">
      <c r="B13" s="4" t="s">
        <v>138</v>
      </c>
      <c r="D13" s="4" t="s">
        <v>104</v>
      </c>
      <c r="E13" s="7"/>
      <c r="H13" s="8">
        <v>9</v>
      </c>
      <c r="I13" s="8">
        <v>8</v>
      </c>
    </row>
    <row r="14" spans="2:9" ht="12.75">
      <c r="B14" t="s">
        <v>280</v>
      </c>
      <c r="D14" s="163" t="s">
        <v>288</v>
      </c>
      <c r="G14" s="70"/>
      <c r="H14" s="8">
        <v>10</v>
      </c>
      <c r="I14" s="8">
        <v>9</v>
      </c>
    </row>
    <row r="15" spans="4:9" ht="12.75">
      <c r="D15" s="4" t="s">
        <v>137</v>
      </c>
      <c r="F15" s="4" t="s">
        <v>268</v>
      </c>
      <c r="H15" s="8">
        <v>11</v>
      </c>
      <c r="I15" s="8">
        <v>10</v>
      </c>
    </row>
    <row r="16" spans="4:9" ht="12.75">
      <c r="D16" s="163" t="s">
        <v>287</v>
      </c>
      <c r="F16" t="s">
        <v>259</v>
      </c>
      <c r="H16" s="8">
        <v>12</v>
      </c>
      <c r="I16" s="8">
        <v>11</v>
      </c>
    </row>
    <row r="17" spans="2:9" ht="12.75">
      <c r="B17" s="4" t="s">
        <v>297</v>
      </c>
      <c r="H17" s="8">
        <v>13</v>
      </c>
      <c r="I17" s="8">
        <v>12</v>
      </c>
    </row>
    <row r="18" spans="2:9" ht="12.75">
      <c r="B18" t="s">
        <v>196</v>
      </c>
      <c r="F18" s="4" t="s">
        <v>2</v>
      </c>
      <c r="H18" s="8">
        <v>14</v>
      </c>
      <c r="I18" s="8">
        <v>13</v>
      </c>
    </row>
    <row r="19" spans="2:9" ht="12.75">
      <c r="B19" s="4" t="s">
        <v>298</v>
      </c>
      <c r="D19" s="4" t="s">
        <v>64</v>
      </c>
      <c r="F19" t="s">
        <v>260</v>
      </c>
      <c r="H19" s="8">
        <v>15</v>
      </c>
      <c r="I19" s="8">
        <v>14</v>
      </c>
    </row>
    <row r="20" spans="2:9" ht="12.75">
      <c r="B20" t="s">
        <v>197</v>
      </c>
      <c r="D20" s="163" t="s">
        <v>293</v>
      </c>
      <c r="F20" s="7"/>
      <c r="H20" s="8">
        <v>16</v>
      </c>
      <c r="I20" s="8">
        <v>15</v>
      </c>
    </row>
    <row r="21" spans="4:9" ht="12.75">
      <c r="D21" s="4" t="s">
        <v>159</v>
      </c>
      <c r="F21" s="70"/>
      <c r="H21" s="8">
        <v>17</v>
      </c>
      <c r="I21" s="8">
        <v>16</v>
      </c>
    </row>
    <row r="22" spans="4:9" ht="12.75">
      <c r="D22" s="163" t="s">
        <v>292</v>
      </c>
      <c r="F22" s="7"/>
      <c r="G22" s="161"/>
      <c r="H22" s="8">
        <v>18</v>
      </c>
      <c r="I22" s="8">
        <v>17</v>
      </c>
    </row>
    <row r="23" spans="2:9" ht="12.75">
      <c r="B23" s="4" t="s">
        <v>175</v>
      </c>
      <c r="F23" s="7"/>
      <c r="H23" s="8">
        <v>19</v>
      </c>
      <c r="I23" s="8">
        <v>18</v>
      </c>
    </row>
    <row r="24" spans="2:9" ht="12.75">
      <c r="B24" t="s">
        <v>198</v>
      </c>
      <c r="D24" s="4" t="s">
        <v>98</v>
      </c>
      <c r="F24" s="7"/>
      <c r="H24" s="8">
        <v>20</v>
      </c>
      <c r="I24" s="8">
        <v>19</v>
      </c>
    </row>
    <row r="25" spans="2:9" ht="12.75">
      <c r="B25" s="4" t="s">
        <v>176</v>
      </c>
      <c r="D25" t="s">
        <v>299</v>
      </c>
      <c r="F25" s="7"/>
      <c r="H25" s="8">
        <v>21</v>
      </c>
      <c r="I25" s="8">
        <v>20</v>
      </c>
    </row>
    <row r="26" spans="2:8" ht="12.75">
      <c r="B26" t="s">
        <v>199</v>
      </c>
      <c r="F26" s="7"/>
      <c r="H26" s="8">
        <v>22</v>
      </c>
    </row>
    <row r="27" spans="2:8" ht="12.75">
      <c r="B27" s="4" t="s">
        <v>178</v>
      </c>
      <c r="D27" s="4" t="s">
        <v>309</v>
      </c>
      <c r="F27" s="7"/>
      <c r="G27" s="163"/>
      <c r="H27" s="8">
        <v>23</v>
      </c>
    </row>
    <row r="28" spans="2:8" ht="12.75">
      <c r="B28" t="s">
        <v>200</v>
      </c>
      <c r="C28" s="7"/>
      <c r="D28" s="163" t="s">
        <v>289</v>
      </c>
      <c r="F28" s="204"/>
      <c r="H28" s="8">
        <v>24</v>
      </c>
    </row>
    <row r="29" spans="2:8" ht="12.75">
      <c r="B29" s="4" t="s">
        <v>179</v>
      </c>
      <c r="C29" s="7"/>
      <c r="D29" s="4" t="s">
        <v>310</v>
      </c>
      <c r="F29" s="147"/>
      <c r="H29" s="8">
        <v>25</v>
      </c>
    </row>
    <row r="30" spans="2:8" ht="12.75">
      <c r="B30" t="s">
        <v>201</v>
      </c>
      <c r="C30" s="70"/>
      <c r="D30" s="163" t="s">
        <v>291</v>
      </c>
      <c r="F30" s="147"/>
      <c r="G30" s="161"/>
      <c r="H30" s="8">
        <v>26</v>
      </c>
    </row>
    <row r="31" spans="3:8" ht="12.75">
      <c r="C31" s="10"/>
      <c r="F31" s="145"/>
      <c r="G31" s="8"/>
      <c r="H31" s="8">
        <v>27</v>
      </c>
    </row>
    <row r="32" spans="2:8" ht="12.75">
      <c r="B32" s="7"/>
      <c r="C32" s="10"/>
      <c r="D32" s="4" t="s">
        <v>73</v>
      </c>
      <c r="F32" s="145"/>
      <c r="G32" s="8"/>
      <c r="H32" s="8">
        <v>28</v>
      </c>
    </row>
    <row r="33" spans="2:8" ht="12.75">
      <c r="B33" s="7"/>
      <c r="C33" s="10"/>
      <c r="D33" t="s">
        <v>300</v>
      </c>
      <c r="F33" s="8"/>
      <c r="G33" s="8"/>
      <c r="H33" s="8">
        <v>29</v>
      </c>
    </row>
    <row r="34" spans="3:8" ht="12.75">
      <c r="C34" s="10"/>
      <c r="D34" s="4" t="s">
        <v>96</v>
      </c>
      <c r="F34" s="204"/>
      <c r="G34" s="8"/>
      <c r="H34" s="8">
        <v>30</v>
      </c>
    </row>
    <row r="35" spans="3:8" ht="12.75">
      <c r="C35" s="10"/>
      <c r="D35" t="s">
        <v>301</v>
      </c>
      <c r="F35" s="143"/>
      <c r="G35" s="8"/>
      <c r="H35" s="8">
        <v>35</v>
      </c>
    </row>
    <row r="36" spans="3:8" ht="12.75">
      <c r="C36" s="10"/>
      <c r="D36" s="4" t="s">
        <v>147</v>
      </c>
      <c r="F36" s="143"/>
      <c r="G36" s="8"/>
      <c r="H36" s="8">
        <v>40</v>
      </c>
    </row>
    <row r="37" spans="3:7" ht="12.75">
      <c r="C37" s="10"/>
      <c r="D37" t="s">
        <v>302</v>
      </c>
      <c r="F37" s="143"/>
      <c r="G37" s="8"/>
    </row>
    <row r="38" spans="3:7" ht="12.75">
      <c r="C38" s="10"/>
      <c r="F38" s="143"/>
      <c r="G38" s="8"/>
    </row>
    <row r="39" spans="3:7" ht="12.75">
      <c r="C39" s="10"/>
      <c r="D39" s="4" t="s">
        <v>148</v>
      </c>
      <c r="F39" s="143"/>
      <c r="G39" s="8"/>
    </row>
    <row r="40" spans="3:7" ht="12.75">
      <c r="C40" s="10"/>
      <c r="D40" t="s">
        <v>303</v>
      </c>
      <c r="F40" s="23"/>
      <c r="G40" s="8"/>
    </row>
    <row r="41" spans="3:7" ht="12.75">
      <c r="C41" s="10"/>
      <c r="D41" s="4" t="s">
        <v>205</v>
      </c>
      <c r="F41" s="23"/>
      <c r="G41" s="8"/>
    </row>
    <row r="42" spans="3:6" ht="12.75">
      <c r="C42" s="10"/>
      <c r="D42" t="s">
        <v>304</v>
      </c>
      <c r="F42" s="143"/>
    </row>
    <row r="43" spans="6:7" ht="12.75">
      <c r="F43" s="143"/>
      <c r="G43" s="8"/>
    </row>
    <row r="44" spans="4:7" ht="12.75">
      <c r="D44" s="4" t="s">
        <v>191</v>
      </c>
      <c r="F44" s="143"/>
      <c r="G44" s="8"/>
    </row>
    <row r="45" spans="4:7" ht="12.75">
      <c r="D45" t="s">
        <v>305</v>
      </c>
      <c r="F45" s="143"/>
      <c r="G45" s="8"/>
    </row>
    <row r="46" spans="4:7" ht="12.75">
      <c r="D46" s="4" t="s">
        <v>192</v>
      </c>
      <c r="F46" s="205"/>
      <c r="G46" s="8"/>
    </row>
    <row r="47" spans="4:7" ht="12.75">
      <c r="D47" t="s">
        <v>306</v>
      </c>
      <c r="F47" s="23"/>
      <c r="G47" s="8"/>
    </row>
    <row r="48" spans="6:7" ht="12.75">
      <c r="F48" s="23"/>
      <c r="G48" s="8"/>
    </row>
    <row r="49" spans="6:7" ht="12.75">
      <c r="F49" s="206"/>
      <c r="G49" s="8"/>
    </row>
    <row r="50" spans="4:7" ht="12.75">
      <c r="D50" s="4" t="s">
        <v>150</v>
      </c>
      <c r="F50" s="206"/>
      <c r="G50" s="8"/>
    </row>
    <row r="51" spans="4:6" ht="12.75">
      <c r="D51" t="s">
        <v>307</v>
      </c>
      <c r="F51" s="206"/>
    </row>
    <row r="52" spans="4:6" ht="12.75">
      <c r="D52" s="4" t="s">
        <v>190</v>
      </c>
      <c r="F52" s="206"/>
    </row>
    <row r="53" spans="4:6" ht="12.75">
      <c r="D53" t="s">
        <v>308</v>
      </c>
      <c r="F53" s="206"/>
    </row>
    <row r="54" ht="12.75">
      <c r="F54" s="143"/>
    </row>
  </sheetData>
  <sheetProtection password="BBA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FVA 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michael.nahm</dc:creator>
  <cp:keywords/>
  <dc:description/>
  <cp:lastModifiedBy>Nahm, Michael (FORST)</cp:lastModifiedBy>
  <dcterms:created xsi:type="dcterms:W3CDTF">2011-01-11T13:30:21Z</dcterms:created>
  <dcterms:modified xsi:type="dcterms:W3CDTF">2012-11-07T08:35:35Z</dcterms:modified>
  <cp:category/>
  <cp:version/>
  <cp:contentType/>
  <cp:contentStatus/>
</cp:coreProperties>
</file>